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8251B796-1CE9-4E7B-8747-3299A645EDD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 7 Plan de trésorerie" sheetId="1" r:id="rId1"/>
    <sheet name="Donnees" sheetId="2" r:id="rId2"/>
  </sheets>
  <definedNames>
    <definedName name="_xlnm.Print_Area" localSheetId="0">'Tableau 7 Plan de trésorerie'!$B$1:$O$55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N49" i="1" l="1"/>
  <c r="N52" i="1"/>
  <c r="M49" i="1"/>
  <c r="M52" i="1"/>
  <c r="L49" i="1"/>
  <c r="L52" i="1"/>
  <c r="K49" i="1"/>
  <c r="K52" i="1"/>
  <c r="J49" i="1"/>
  <c r="J52" i="1"/>
  <c r="I49" i="1"/>
  <c r="I52" i="1"/>
  <c r="H49" i="1"/>
  <c r="H52" i="1"/>
  <c r="G49" i="1"/>
  <c r="G52" i="1"/>
  <c r="F49" i="1"/>
  <c r="F52" i="1"/>
  <c r="E52" i="1"/>
  <c r="D49" i="1"/>
  <c r="D52" i="1"/>
  <c r="C49" i="1"/>
  <c r="C52" i="1"/>
  <c r="N28" i="1"/>
  <c r="N31" i="1"/>
  <c r="M28" i="1"/>
  <c r="M31" i="1"/>
  <c r="L28" i="1"/>
  <c r="L31" i="1"/>
  <c r="K28" i="1"/>
  <c r="K31" i="1"/>
  <c r="J28" i="1"/>
  <c r="J31" i="1"/>
  <c r="I28" i="1"/>
  <c r="I31" i="1"/>
  <c r="H28" i="1"/>
  <c r="H31" i="1"/>
  <c r="G28" i="1"/>
  <c r="G31" i="1"/>
  <c r="F28" i="1"/>
  <c r="F31" i="1"/>
  <c r="E28" i="1"/>
  <c r="E31" i="1"/>
  <c r="D28" i="1"/>
  <c r="D31" i="1"/>
  <c r="C28" i="1"/>
  <c r="C31" i="1"/>
  <c r="N51" i="1" l="1"/>
  <c r="M51" i="1"/>
  <c r="L51" i="1"/>
  <c r="K51" i="1"/>
  <c r="J51" i="1"/>
  <c r="I51" i="1"/>
  <c r="H51" i="1"/>
  <c r="G51" i="1"/>
  <c r="F51" i="1"/>
  <c r="E51" i="1"/>
  <c r="D51" i="1"/>
  <c r="C51" i="1"/>
  <c r="N30" i="1"/>
  <c r="M30" i="1"/>
  <c r="L30" i="1"/>
  <c r="K30" i="1"/>
  <c r="J30" i="1"/>
  <c r="I30" i="1"/>
  <c r="H30" i="1"/>
  <c r="G30" i="1"/>
  <c r="F30" i="1"/>
  <c r="E30" i="1"/>
  <c r="D30" i="1"/>
  <c r="C30" i="1"/>
  <c r="N19" i="1"/>
  <c r="M19" i="1"/>
  <c r="L19" i="1"/>
  <c r="K19" i="1"/>
  <c r="J19" i="1"/>
  <c r="I19" i="1"/>
  <c r="H19" i="1"/>
  <c r="G19" i="1"/>
  <c r="F19" i="1"/>
  <c r="E19" i="1"/>
  <c r="D19" i="1"/>
  <c r="C19" i="1"/>
  <c r="N13" i="1"/>
  <c r="M13" i="1"/>
  <c r="L13" i="1"/>
  <c r="K13" i="1"/>
  <c r="J13" i="1"/>
  <c r="I13" i="1"/>
  <c r="H13" i="1"/>
  <c r="G13" i="1"/>
  <c r="F13" i="1"/>
  <c r="E13" i="1"/>
  <c r="D13" i="1"/>
  <c r="C13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26" i="1"/>
  <c r="M26" i="1"/>
  <c r="L26" i="1"/>
  <c r="K26" i="1"/>
  <c r="J26" i="1"/>
  <c r="I26" i="1"/>
  <c r="H26" i="1"/>
  <c r="G26" i="1"/>
  <c r="F26" i="1"/>
  <c r="E26" i="1"/>
  <c r="N25" i="1"/>
  <c r="M25" i="1"/>
  <c r="L25" i="1"/>
  <c r="K25" i="1"/>
  <c r="J25" i="1"/>
  <c r="I25" i="1"/>
  <c r="H25" i="1"/>
  <c r="G25" i="1"/>
  <c r="F25" i="1"/>
  <c r="E25" i="1"/>
  <c r="E24" i="1"/>
  <c r="F24" i="1"/>
  <c r="G24" i="1"/>
  <c r="H24" i="1"/>
  <c r="I24" i="1"/>
  <c r="J24" i="1"/>
  <c r="K24" i="1"/>
  <c r="L24" i="1"/>
  <c r="M24" i="1"/>
  <c r="N24" i="1"/>
  <c r="D25" i="1"/>
  <c r="D26" i="1"/>
  <c r="C26" i="1"/>
  <c r="C25" i="1"/>
  <c r="O51" i="1" l="1"/>
  <c r="O31" i="1"/>
  <c r="O19" i="1"/>
  <c r="O13" i="1"/>
  <c r="O47" i="1"/>
  <c r="O46" i="1"/>
  <c r="O26" i="1"/>
  <c r="O25" i="1"/>
  <c r="C9" i="1" l="1"/>
  <c r="C14" i="1" l="1"/>
  <c r="C12" i="1"/>
  <c r="N29" i="1" l="1"/>
  <c r="M29" i="1"/>
  <c r="L29" i="1"/>
  <c r="K29" i="1"/>
  <c r="J29" i="1"/>
  <c r="I29" i="1"/>
  <c r="H29" i="1"/>
  <c r="G29" i="1"/>
  <c r="F29" i="1"/>
  <c r="E29" i="1"/>
  <c r="D29" i="1"/>
  <c r="C29" i="1"/>
  <c r="O49" i="1" l="1"/>
  <c r="C50" i="1"/>
  <c r="C48" i="1" s="1"/>
  <c r="N50" i="1"/>
  <c r="N48" i="1" s="1"/>
  <c r="M50" i="1"/>
  <c r="M48" i="1" s="1"/>
  <c r="L50" i="1"/>
  <c r="L48" i="1" s="1"/>
  <c r="K50" i="1"/>
  <c r="K48" i="1" s="1"/>
  <c r="J50" i="1"/>
  <c r="J48" i="1" s="1"/>
  <c r="I50" i="1"/>
  <c r="I48" i="1" s="1"/>
  <c r="H50" i="1"/>
  <c r="H48" i="1" s="1"/>
  <c r="G50" i="1"/>
  <c r="G48" i="1" s="1"/>
  <c r="F50" i="1"/>
  <c r="F48" i="1" s="1"/>
  <c r="E50" i="1"/>
  <c r="E48" i="1" s="1"/>
  <c r="D50" i="1"/>
  <c r="D48" i="1" s="1"/>
  <c r="O50" i="1" l="1"/>
  <c r="O48" i="1" s="1"/>
  <c r="O28" i="1"/>
  <c r="F4" i="2"/>
  <c r="N1" i="1" l="1"/>
  <c r="C22" i="1" l="1"/>
  <c r="N22" i="1"/>
  <c r="M22" i="1"/>
  <c r="L22" i="1"/>
  <c r="K22" i="1"/>
  <c r="J22" i="1"/>
  <c r="I22" i="1"/>
  <c r="H22" i="1"/>
  <c r="G22" i="1"/>
  <c r="F22" i="1"/>
  <c r="E22" i="1"/>
  <c r="D22" i="1"/>
  <c r="D4" i="2" l="1"/>
  <c r="B4" i="2"/>
  <c r="C35" i="1"/>
  <c r="N45" i="1"/>
  <c r="N44" i="1" s="1"/>
  <c r="M45" i="1"/>
  <c r="M44" i="1" s="1"/>
  <c r="L45" i="1"/>
  <c r="L44" i="1" s="1"/>
  <c r="K45" i="1"/>
  <c r="K44" i="1" s="1"/>
  <c r="J45" i="1"/>
  <c r="J44" i="1" s="1"/>
  <c r="I45" i="1"/>
  <c r="I44" i="1" s="1"/>
  <c r="H45" i="1"/>
  <c r="H44" i="1" s="1"/>
  <c r="G45" i="1"/>
  <c r="G44" i="1" s="1"/>
  <c r="F45" i="1"/>
  <c r="F44" i="1" s="1"/>
  <c r="E45" i="1"/>
  <c r="E44" i="1" s="1"/>
  <c r="D45" i="1"/>
  <c r="D44" i="1" s="1"/>
  <c r="C45" i="1"/>
  <c r="C44" i="1" s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D24" i="1"/>
  <c r="C24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F18" i="1" s="1"/>
  <c r="E20" i="1"/>
  <c r="E18" i="1" s="1"/>
  <c r="D20" i="1"/>
  <c r="D18" i="1" s="1"/>
  <c r="C20" i="1"/>
  <c r="C18" i="1" s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N12" i="1"/>
  <c r="M12" i="1"/>
  <c r="L12" i="1"/>
  <c r="K12" i="1"/>
  <c r="J12" i="1"/>
  <c r="I12" i="1"/>
  <c r="H12" i="1"/>
  <c r="G12" i="1"/>
  <c r="F12" i="1"/>
  <c r="E12" i="1"/>
  <c r="D12" i="1"/>
  <c r="L18" i="1" l="1"/>
  <c r="N18" i="1"/>
  <c r="K18" i="1"/>
  <c r="G18" i="1"/>
  <c r="H18" i="1"/>
  <c r="I18" i="1"/>
  <c r="J18" i="1"/>
  <c r="M18" i="1"/>
  <c r="C1" i="2"/>
  <c r="B1" i="2"/>
  <c r="E1" i="2"/>
  <c r="K39" i="1"/>
  <c r="D34" i="1"/>
  <c r="L34" i="1"/>
  <c r="N34" i="1"/>
  <c r="I27" i="1"/>
  <c r="I23" i="1" s="1"/>
  <c r="K27" i="1"/>
  <c r="K23" i="1" s="1"/>
  <c r="G11" i="1"/>
  <c r="H11" i="1"/>
  <c r="O52" i="1"/>
  <c r="O22" i="1"/>
  <c r="O21" i="1"/>
  <c r="O20" i="1"/>
  <c r="O12" i="1"/>
  <c r="J39" i="1"/>
  <c r="H39" i="1"/>
  <c r="K34" i="1"/>
  <c r="I34" i="1"/>
  <c r="H34" i="1"/>
  <c r="H53" i="1" s="1"/>
  <c r="F34" i="1"/>
  <c r="N27" i="1"/>
  <c r="N23" i="1" s="1"/>
  <c r="L27" i="1"/>
  <c r="L23" i="1" s="1"/>
  <c r="H27" i="1"/>
  <c r="H23" i="1" s="1"/>
  <c r="F27" i="1"/>
  <c r="F23" i="1" s="1"/>
  <c r="D27" i="1"/>
  <c r="D23" i="1" s="1"/>
  <c r="K53" i="1" l="1"/>
  <c r="H32" i="1"/>
  <c r="O18" i="1"/>
  <c r="O16" i="1"/>
  <c r="O15" i="1"/>
  <c r="L11" i="1"/>
  <c r="L32" i="1" s="1"/>
  <c r="D11" i="1"/>
  <c r="D32" i="1" s="1"/>
  <c r="N39" i="1"/>
  <c r="N53" i="1" s="1"/>
  <c r="F39" i="1"/>
  <c r="F53" i="1" s="1"/>
  <c r="O41" i="1"/>
  <c r="L39" i="1"/>
  <c r="L53" i="1" s="1"/>
  <c r="D39" i="1"/>
  <c r="D53" i="1" s="1"/>
  <c r="O17" i="1"/>
  <c r="J11" i="1"/>
  <c r="O30" i="1"/>
  <c r="J27" i="1"/>
  <c r="J23" i="1" s="1"/>
  <c r="M27" i="1"/>
  <c r="M23" i="1" s="1"/>
  <c r="G34" i="1"/>
  <c r="J34" i="1"/>
  <c r="J53" i="1" s="1"/>
  <c r="M34" i="1"/>
  <c r="E34" i="1"/>
  <c r="G39" i="1"/>
  <c r="M39" i="1"/>
  <c r="E39" i="1"/>
  <c r="O45" i="1"/>
  <c r="O44" i="1" s="1"/>
  <c r="I39" i="1"/>
  <c r="I53" i="1" s="1"/>
  <c r="O42" i="1"/>
  <c r="O43" i="1"/>
  <c r="O40" i="1"/>
  <c r="O36" i="1"/>
  <c r="O35" i="1"/>
  <c r="O38" i="1"/>
  <c r="O37" i="1"/>
  <c r="G27" i="1"/>
  <c r="G23" i="1" s="1"/>
  <c r="G32" i="1" s="1"/>
  <c r="O29" i="1"/>
  <c r="E27" i="1"/>
  <c r="E23" i="1" s="1"/>
  <c r="O24" i="1"/>
  <c r="O14" i="1"/>
  <c r="K11" i="1"/>
  <c r="K32" i="1" s="1"/>
  <c r="I11" i="1"/>
  <c r="I32" i="1" s="1"/>
  <c r="M11" i="1"/>
  <c r="E11" i="1"/>
  <c r="N11" i="1"/>
  <c r="N32" i="1" s="1"/>
  <c r="F11" i="1"/>
  <c r="F32" i="1" s="1"/>
  <c r="C27" i="1"/>
  <c r="C23" i="1" s="1"/>
  <c r="C34" i="1"/>
  <c r="C39" i="1"/>
  <c r="C11" i="1"/>
  <c r="C32" i="1" s="1"/>
  <c r="E53" i="1" l="1"/>
  <c r="C53" i="1"/>
  <c r="M53" i="1"/>
  <c r="G53" i="1"/>
  <c r="E32" i="1"/>
  <c r="M32" i="1"/>
  <c r="J32" i="1"/>
  <c r="G54" i="1"/>
  <c r="K54" i="1"/>
  <c r="I54" i="1"/>
  <c r="L54" i="1"/>
  <c r="H54" i="1"/>
  <c r="D54" i="1"/>
  <c r="O11" i="1"/>
  <c r="O27" i="1"/>
  <c r="O23" i="1" s="1"/>
  <c r="J54" i="1"/>
  <c r="O39" i="1"/>
  <c r="O34" i="1"/>
  <c r="O53" i="1" s="1"/>
  <c r="N54" i="1"/>
  <c r="F54" i="1"/>
  <c r="E3" i="2"/>
  <c r="C3" i="2"/>
  <c r="B3" i="2"/>
  <c r="E2" i="2"/>
  <c r="C2" i="2"/>
  <c r="B2" i="2"/>
  <c r="B2" i="1"/>
  <c r="O32" i="1" l="1"/>
  <c r="M54" i="1"/>
  <c r="E54" i="1"/>
  <c r="C54" i="1"/>
  <c r="C55" i="1" s="1"/>
  <c r="D9" i="1" s="1"/>
  <c r="D55" i="1" s="1"/>
  <c r="E9" i="1" s="1"/>
  <c r="E55" i="1" l="1"/>
  <c r="F9" i="1" s="1"/>
  <c r="F55" i="1" s="1"/>
  <c r="G9" i="1" s="1"/>
  <c r="G55" i="1" s="1"/>
  <c r="H9" i="1" s="1"/>
  <c r="H55" i="1" s="1"/>
  <c r="I9" i="1" s="1"/>
  <c r="I55" i="1" s="1"/>
  <c r="J9" i="1" s="1"/>
  <c r="J55" i="1" s="1"/>
  <c r="K9" i="1" s="1"/>
  <c r="K55" i="1" s="1"/>
  <c r="L9" i="1" s="1"/>
  <c r="L55" i="1" s="1"/>
  <c r="M9" i="1" s="1"/>
  <c r="M55" i="1" s="1"/>
  <c r="N9" i="1" s="1"/>
  <c r="N55" i="1" s="1"/>
  <c r="O9" i="1" s="1"/>
  <c r="O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568D60F3-E469-4E2F-A2FD-935B9E798B51}">
      <text>
        <r>
          <rPr>
            <sz val="9"/>
            <color indexed="81"/>
            <rFont val="Courier New"/>
            <family val="3"/>
          </rPr>
          <t>H2_01 - D1.000 - NID - 27.06.16 - Modif titre tableau
H3_01 - D1.001 - PR  - 04.08.17 - Ajout postes TVAE,TVAD,ENCNR,DECNR
H4_01 - D1.002 - PR  - 06.12.17 - Suppression calcul dans case derniere ligne, derniere colonne 
H5_01 - D1.003 - PR  - 06.06.19 - Util. 3eme but pour poste OTx et prise en compte FISKx
      - D1.004 - PR  - 11.06.19 - Alim janvier avec SPTRE2
H5_01 - D1.005 - PFR - 13.06.19 - Révision des postes pour les opérations gérées en comptes de tiers
I1_01 - D1.006 - YAD - 22.01.20 - Inversion du calcul postes FISKx
J1_01 - D1.007 - YAD - 20.10.22 - Eclatement des lignes 22 et 40 + Correction de libellés
      - D1.008 - PR  - 27.11.23 - Ajout de 2 postes de subventions pour charges d'investissement (postes SCI et SCIF)
                                - Ajout de 2 postes d'opérations au nom et pour le compte de tiers (postes ATD et ATE)
J2_01 - D1.009 - PR  - 18.06.24 - Postes TVAD et TVAE désormais dans "TVA décaissée ou encaissée"</t>
        </r>
      </text>
    </comment>
  </commentList>
</comments>
</file>

<file path=xl/sharedStrings.xml><?xml version="1.0" encoding="utf-8"?>
<sst xmlns="http://schemas.openxmlformats.org/spreadsheetml/2006/main" count="3231" uniqueCount="156">
  <si>
    <t>POUR INFORMATION DE L'ORGANE DÉLIBÉRANT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</si>
  <si>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</si>
  <si>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</si>
  <si>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</si>
  <si>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</si>
  <si>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</si>
  <si>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</si>
  <si>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</si>
  <si>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</si>
  <si>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</si>
  <si>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</si>
  <si>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</si>
  <si>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</si>
  <si>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</si>
  <si>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(1) SOLDE INITIAL (début de mois)</t>
  </si>
  <si>
    <t>ENCAISSEMENTS</t>
  </si>
  <si>
    <t>Recettes budgétaires globalisées</t>
  </si>
  <si>
    <t>Subvention pour charges de service public</t>
  </si>
  <si>
    <t>Autres financements de l'État</t>
  </si>
  <si>
    <t>Fiscalité affectée</t>
  </si>
  <si>
    <t>Autres financements publics</t>
  </si>
  <si>
    <t>Recettes budgétaires fléchées</t>
  </si>
  <si>
    <t>Autres financements publics fléchés</t>
  </si>
  <si>
    <t>Opérations non budgétaires</t>
  </si>
  <si>
    <t>DECAISSEMENTS</t>
  </si>
  <si>
    <t>Dépenses liées à des recettes globalisées</t>
  </si>
  <si>
    <t>Personnel</t>
  </si>
  <si>
    <t>Fonctionnement</t>
  </si>
  <si>
    <t>Intervention</t>
  </si>
  <si>
    <t>Investissement</t>
  </si>
  <si>
    <t>Dépenses liées à des recettes fléchées</t>
  </si>
  <si>
    <t>(2) SOLDE DU MOIS = A - B</t>
  </si>
  <si>
    <t>SOLDE CUMULE (1) + (2)</t>
  </si>
  <si>
    <t>A. TOTAL</t>
  </si>
  <si>
    <t>B. TOTAL</t>
  </si>
  <si>
    <t>Recettes propres fléchées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</si>
  <si>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</si>
  <si>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</si>
  <si>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</si>
  <si>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</si>
  <si>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</si>
  <si>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</si>
  <si>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</si>
  <si>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</si>
  <si>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</si>
  <si>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</si>
  <si>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Mois</t>
  </si>
  <si>
    <t>Nature</t>
  </si>
  <si>
    <t>CGR</t>
  </si>
  <si>
    <t>Etablissement</t>
  </si>
  <si>
    <t>Intitulé</t>
  </si>
  <si>
    <t>Année de l'exercice</t>
  </si>
  <si>
    <t>Chemin</t>
  </si>
  <si>
    <t>Job</t>
  </si>
  <si>
    <t>Utilisateur</t>
  </si>
  <si>
    <t>Date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</si>
  <si>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</si>
  <si>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</si>
  <si>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</si>
  <si>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</si>
  <si>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</si>
  <si>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</si>
  <si>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</si>
  <si>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</si>
  <si>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Tableau 7 : Plan de trésorerie</t>
  </si>
  <si>
    <t>Emprunts : encaissements en capital</t>
  </si>
  <si>
    <t>Prêts : encaissement en capital</t>
  </si>
  <si>
    <t>Recettes propres</t>
  </si>
  <si>
    <t>Dépôts et cautionnements</t>
  </si>
  <si>
    <t>Emprunts : remboursements en capital</t>
  </si>
  <si>
    <t>Prêts : décaissements en capital</t>
  </si>
  <si>
    <t>Subvention pour charges d'investissement</t>
  </si>
  <si>
    <t>Subvention pour charges d'investissement fléchée</t>
  </si>
  <si>
    <t>Autres financements de l'État fléchés</t>
  </si>
  <si>
    <t>Opérations au nom et pour le compte de tiers :</t>
  </si>
  <si>
    <t>TVA encaissée</t>
  </si>
  <si>
    <t>Dispositifs d'intervention pour compte de tiers : encaissements</t>
  </si>
  <si>
    <t>Autres encaissements d'opérations non budgétaires</t>
  </si>
  <si>
    <t>Autres opérations au nom et pour le compte de tiers</t>
  </si>
  <si>
    <t>TVA décaissée</t>
  </si>
  <si>
    <t>Dispositifs d'intervention pour compte de tiers : décaissements</t>
  </si>
  <si>
    <t>Autres décaissements d'opérations non budgétaires</t>
  </si>
  <si>
    <t>B1</t>
  </si>
  <si>
    <t>AFP</t>
  </si>
  <si>
    <t>BU</t>
  </si>
  <si>
    <t>R</t>
  </si>
  <si>
    <t>REG</t>
  </si>
  <si>
    <t>01</t>
  </si>
  <si>
    <t>F</t>
  </si>
  <si>
    <t>ACT1</t>
  </si>
  <si>
    <t>IND</t>
  </si>
  <si>
    <t>CENTRE</t>
  </si>
  <si>
    <t>Centre</t>
  </si>
  <si>
    <t>DAT</t>
  </si>
  <si>
    <t>CB</t>
  </si>
  <si>
    <t>Comptes budgétaires</t>
  </si>
  <si>
    <t>PR</t>
  </si>
  <si>
    <t>HB</t>
  </si>
  <si>
    <t>OT</t>
  </si>
  <si>
    <t>CTD</t>
  </si>
  <si>
    <t>CT</t>
  </si>
  <si>
    <t>CTE</t>
  </si>
  <si>
    <t>DECNR</t>
  </si>
  <si>
    <t>DI</t>
  </si>
  <si>
    <t>EMN</t>
  </si>
  <si>
    <t>E</t>
  </si>
  <si>
    <t>EMR</t>
  </si>
  <si>
    <t>ENCNR</t>
  </si>
  <si>
    <t>FON</t>
  </si>
  <si>
    <t>D</t>
  </si>
  <si>
    <t>OTD</t>
  </si>
  <si>
    <t>OTE</t>
  </si>
  <si>
    <t>PER</t>
  </si>
  <si>
    <t>REP</t>
  </si>
  <si>
    <t>SCI</t>
  </si>
  <si>
    <t>SCIF</t>
  </si>
  <si>
    <t>REF</t>
  </si>
  <si>
    <t>SSP</t>
  </si>
  <si>
    <t>TVAD</t>
  </si>
  <si>
    <t>TVAE</t>
  </si>
  <si>
    <t>FEF</t>
  </si>
  <si>
    <t>INT</t>
  </si>
  <si>
    <t>AFE</t>
  </si>
  <si>
    <t>G</t>
  </si>
  <si>
    <t>ACT2</t>
  </si>
  <si>
    <t>FIA</t>
  </si>
  <si>
    <t>ACT3</t>
  </si>
  <si>
    <t>P1</t>
  </si>
  <si>
    <t>04</t>
  </si>
  <si>
    <t>Qualiac développement</t>
  </si>
  <si>
    <t>2014</t>
  </si>
  <si>
    <t>263631</t>
  </si>
  <si>
    <t>01/12/2015</t>
  </si>
  <si>
    <t>AFPF</t>
  </si>
  <si>
    <t>08</t>
  </si>
  <si>
    <t>ARF</t>
  </si>
  <si>
    <t>INV</t>
  </si>
  <si>
    <t>03</t>
  </si>
  <si>
    <t>06</t>
  </si>
  <si>
    <t>07</t>
  </si>
  <si>
    <t>02</t>
  </si>
  <si>
    <t>SPTRE2</t>
  </si>
  <si>
    <t>05</t>
  </si>
  <si>
    <t>09</t>
  </si>
  <si>
    <t>P2</t>
  </si>
  <si>
    <t>B2</t>
  </si>
  <si>
    <t>10</t>
  </si>
  <si>
    <t>12</t>
  </si>
  <si>
    <t>11</t>
  </si>
  <si>
    <t>ACT4</t>
  </si>
  <si>
    <t>ACT5</t>
  </si>
  <si>
    <t>ACT6</t>
  </si>
  <si>
    <t>DEN</t>
  </si>
  <si>
    <t>DER</t>
  </si>
  <si>
    <t>PRN</t>
  </si>
  <si>
    <t>PRR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</si>
</sst>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3" borderId="21" xfId="0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4" fontId="0" fillId="0" borderId="16" xfId="0" applyNumberFormat="1" applyBorder="1"/>
    <xf numFmtId="4" fontId="0" fillId="0" borderId="14" xfId="0" applyNumberFormat="1" applyBorder="1"/>
    <xf numFmtId="4" fontId="0" fillId="0" borderId="27" xfId="0" applyNumberFormat="1" applyBorder="1"/>
    <xf numFmtId="0" fontId="3" fillId="3" borderId="12" xfId="0" applyFont="1" applyFill="1" applyBorder="1" applyAlignment="1">
      <alignment vertical="center"/>
    </xf>
    <xf numFmtId="4" fontId="0" fillId="3" borderId="17" xfId="0" applyNumberFormat="1" applyFill="1" applyBorder="1"/>
    <xf numFmtId="4" fontId="0" fillId="3" borderId="8" xfId="0" applyNumberFormat="1" applyFill="1" applyBorder="1"/>
    <xf numFmtId="4" fontId="0" fillId="3" borderId="13" xfId="0" applyNumberFormat="1" applyFill="1" applyBorder="1"/>
    <xf numFmtId="0" fontId="3" fillId="4" borderId="12" xfId="0" applyFont="1" applyFill="1" applyBorder="1" applyAlignment="1">
      <alignment vertical="center"/>
    </xf>
    <xf numFmtId="4" fontId="0" fillId="4" borderId="17" xfId="0" applyNumberFormat="1" applyFill="1" applyBorder="1"/>
    <xf numFmtId="4" fontId="0" fillId="4" borderId="8" xfId="0" applyNumberFormat="1" applyFill="1" applyBorder="1"/>
    <xf numFmtId="4" fontId="0" fillId="4" borderId="13" xfId="0" applyNumberFormat="1" applyFill="1" applyBorder="1"/>
    <xf numFmtId="4" fontId="0" fillId="0" borderId="18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4" borderId="30" xfId="0" applyNumberFormat="1" applyFill="1" applyBorder="1"/>
    <xf numFmtId="0" fontId="3" fillId="4" borderId="25" xfId="0" applyFont="1" applyFill="1" applyBorder="1" applyAlignment="1">
      <alignment horizontal="right" vertical="center"/>
    </xf>
    <xf numFmtId="4" fontId="0" fillId="4" borderId="19" xfId="0" applyNumberFormat="1" applyFill="1" applyBorder="1"/>
    <xf numFmtId="4" fontId="0" fillId="4" borderId="9" xfId="0" applyNumberFormat="1" applyFill="1" applyBorder="1"/>
    <xf numFmtId="4" fontId="0" fillId="4" borderId="10" xfId="0" applyNumberFormat="1" applyFill="1" applyBorder="1"/>
    <xf numFmtId="0" fontId="3" fillId="3" borderId="25" xfId="0" applyFont="1" applyFill="1" applyBorder="1" applyAlignment="1">
      <alignment vertical="center"/>
    </xf>
    <xf numFmtId="4" fontId="0" fillId="3" borderId="19" xfId="0" applyNumberFormat="1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3" fillId="4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4" fontId="0" fillId="3" borderId="30" xfId="0" applyNumberFormat="1" applyFill="1" applyBorder="1"/>
    <xf numFmtId="0" fontId="3" fillId="4" borderId="26" xfId="0" applyFont="1" applyFill="1" applyBorder="1" applyAlignment="1">
      <alignment horizontal="right" vertical="center"/>
    </xf>
    <xf numFmtId="4" fontId="0" fillId="4" borderId="20" xfId="0" applyNumberFormat="1" applyFill="1" applyBorder="1"/>
    <xf numFmtId="4" fontId="0" fillId="4" borderId="11" xfId="0" applyNumberFormat="1" applyFill="1" applyBorder="1"/>
    <xf numFmtId="4" fontId="0" fillId="4" borderId="31" xfId="0" applyNumberForma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quotePrefix="1" applyBorder="1" applyAlignment="1">
      <alignment vertical="center"/>
    </xf>
    <xf numFmtId="0" fontId="0" fillId="0" borderId="24" xfId="0" quotePrefix="1" applyBorder="1" applyAlignment="1">
      <alignment vertical="center"/>
    </xf>
    <xf numFmtId="0" fontId="0" fillId="0" borderId="22" xfId="0" quotePrefix="1" applyBorder="1" applyAlignment="1">
      <alignment vertical="center"/>
    </xf>
    <xf numFmtId="0" fontId="0" fillId="0" borderId="0" xfId="0" applyAlignment="1">
      <alignment horizontal="left" vertical="center"/>
    </xf>
    <xf numFmtId="4" fontId="0" fillId="0" borderId="18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5"/>
  <sheetViews>
    <sheetView showGridLines="0" showZeros="0" tabSelected="1" zoomScale="80" zoomScaleNormal="80" workbookViewId="0"/>
  </sheetViews>
  <sheetFormatPr baseColWidth="10" defaultRowHeight="15" x14ac:dyDescent="0.25"/>
  <cols>
    <col min="1" max="1" width="3.28515625" customWidth="1"/>
    <col min="2" max="2" width="66.28515625" bestFit="1" customWidth="1"/>
    <col min="3" max="15" width="16.7109375" customWidth="1"/>
  </cols>
  <sheetData>
    <row r="1" spans="2:15" ht="15" customHeight="1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48" t="str">
        <f>CONCATENATE("Edité au : ",Donnees!F4)</f>
        <v>Edité au : 01/12/2015</v>
      </c>
    </row>
    <row r="2" spans="2:15" ht="15" customHeight="1" x14ac:dyDescent="0.25">
      <c r="B2" s="55" t="str">
        <f>Donnees!C1</f>
        <v>Qualiac développement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5" ht="15" customHeight="1" x14ac:dyDescent="0.25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5" ht="15" customHeight="1" x14ac:dyDescent="0.25">
      <c r="B4" s="56" t="s">
        <v>64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15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15" customHeight="1" x14ac:dyDescent="0.25">
      <c r="B6" s="57" t="s">
        <v>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5" ht="15" customHeight="1" thickBot="1" x14ac:dyDescent="0.3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15" customHeight="1" x14ac:dyDescent="0.25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8" t="s">
        <v>13</v>
      </c>
    </row>
    <row r="9" spans="2:15" ht="15" customHeight="1" thickBot="1" x14ac:dyDescent="0.3">
      <c r="B9" s="9" t="s">
        <v>14</v>
      </c>
      <c r="C9" s="10">
        <f>-SUMIFS(Donnees!$I$6:$I$1000000,Donnees!$K$6:$K$1000000,"01",Donnees!$E$6:$E$1000000,"SPTRE2")+SUMIFS(Donnees!$J$6:$J$1000000,Donnees!$K$6:$K$1000000,"01",Donnees!$E$6:$E$1000000,"SPTRE2")</f>
        <v>5555000</v>
      </c>
      <c r="D9" s="11">
        <f>+C55</f>
        <v>12481680</v>
      </c>
      <c r="E9" s="11">
        <f t="shared" ref="E9:N9" si="0">+D55</f>
        <v>18632680</v>
      </c>
      <c r="F9" s="11">
        <f t="shared" si="0"/>
        <v>20569680</v>
      </c>
      <c r="G9" s="11">
        <f t="shared" si="0"/>
        <v>28509680</v>
      </c>
      <c r="H9" s="11">
        <f t="shared" si="0"/>
        <v>21246310</v>
      </c>
      <c r="I9" s="11">
        <f t="shared" si="0"/>
        <v>17335310</v>
      </c>
      <c r="J9" s="11">
        <f t="shared" si="0"/>
        <v>9342310</v>
      </c>
      <c r="K9" s="11">
        <f t="shared" si="0"/>
        <v>14108710</v>
      </c>
      <c r="L9" s="11">
        <f t="shared" si="0"/>
        <v>10802710</v>
      </c>
      <c r="M9" s="11">
        <f t="shared" si="0"/>
        <v>88887710</v>
      </c>
      <c r="N9" s="11">
        <f t="shared" si="0"/>
        <v>92525710</v>
      </c>
      <c r="O9" s="12">
        <f>+N55</f>
        <v>98066710</v>
      </c>
    </row>
    <row r="10" spans="2:15" ht="15" customHeight="1" thickBot="1" x14ac:dyDescent="0.3">
      <c r="B10" s="13" t="s">
        <v>15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ht="15" customHeight="1" thickBot="1" x14ac:dyDescent="0.3">
      <c r="B11" s="17" t="s">
        <v>16</v>
      </c>
      <c r="C11" s="18">
        <f>SUM(C12:C17)</f>
        <v>27400000</v>
      </c>
      <c r="D11" s="19">
        <f t="shared" ref="D11:O11" si="1">SUM(D12:D17)</f>
        <v>16912000</v>
      </c>
      <c r="E11" s="19">
        <f t="shared" si="1"/>
        <v>10960000</v>
      </c>
      <c r="F11" s="19">
        <f t="shared" si="1"/>
        <v>16280000</v>
      </c>
      <c r="G11" s="19">
        <f t="shared" si="1"/>
        <v>8100000</v>
      </c>
      <c r="H11" s="19">
        <f t="shared" si="1"/>
        <v>8260000</v>
      </c>
      <c r="I11" s="19">
        <f t="shared" si="1"/>
        <v>7660000</v>
      </c>
      <c r="J11" s="19">
        <f t="shared" si="1"/>
        <v>13060000</v>
      </c>
      <c r="K11" s="19">
        <f t="shared" si="1"/>
        <v>3140000</v>
      </c>
      <c r="L11" s="19">
        <f t="shared" si="1"/>
        <v>87946000</v>
      </c>
      <c r="M11" s="19">
        <f t="shared" si="1"/>
        <v>10386000</v>
      </c>
      <c r="N11" s="19">
        <f t="shared" si="1"/>
        <v>11164000</v>
      </c>
      <c r="O11" s="20">
        <f t="shared" si="1"/>
        <v>221268000</v>
      </c>
    </row>
    <row r="12" spans="2:15" ht="15" customHeight="1" x14ac:dyDescent="0.25">
      <c r="B12" s="42" t="s">
        <v>17</v>
      </c>
      <c r="C12" s="21">
        <f>-SUMIFS(Donnees!$I$6:$I$1000000,Donnees!$L$6:$L$1000000,"G",Donnees!$K$6:$K$1000000,"01",Donnees!$G$6:$G$1000000,"SSP")+SUMIFS(Donnees!$J$6:$J$1000000,Donnees!$L$6:$L$1000000,"G",Donnees!$K$6:$K$1000000,"01",Donnees!$G$6:$G$1000000,"SSP")</f>
        <v>5480000</v>
      </c>
      <c r="D12" s="22">
        <f>-SUMIFS(Donnees!$I$6:$I$1000000,Donnees!$L$6:$L$1000000,"G",Donnees!$K$6:$K$1000000,"02",Donnees!$G$6:$G$1000000,"SSP")+SUMIFS(Donnees!$J$6:$J$1000000,Donnees!$L$6:$L$1000000,"G",Donnees!$K$6:$K$1000000,"02",Donnees!$G$6:$G$1000000,"SSP")</f>
        <v>0</v>
      </c>
      <c r="E12" s="22">
        <f>-SUMIFS(Donnees!$I$6:$I$1000000,Donnees!$L$6:$L$1000000,"G",Donnees!$K$6:$K$1000000,"03",Donnees!$G$6:$G$1000000,"SSP")+SUMIFS(Donnees!$J$6:$J$1000000,Donnees!$L$6:$L$1000000,"G",Donnees!$K$6:$K$1000000,"03",Donnees!$G$6:$G$1000000,"SSP")</f>
        <v>0</v>
      </c>
      <c r="F12" s="22">
        <f>-SUMIFS(Donnees!$I$6:$I$1000000,Donnees!$L$6:$L$1000000,"G",Donnees!$K$6:$K$1000000,"04",Donnees!$G$6:$G$1000000,"SSP")+SUMIFS(Donnees!$J$6:$J$1000000,Donnees!$L$6:$L$1000000,"G",Donnees!$K$6:$K$1000000,"04",Donnees!$G$6:$G$1000000,"SSP")</f>
        <v>0</v>
      </c>
      <c r="G12" s="22">
        <f>-SUMIFS(Donnees!$I$6:$I$1000000,Donnees!$L$6:$L$1000000,"G",Donnees!$K$6:$K$1000000,"05",Donnees!$G$6:$G$1000000,"SSP")+SUMIFS(Donnees!$J$6:$J$1000000,Donnees!$L$6:$L$1000000,"G",Donnees!$K$6:$K$1000000,"05",Donnees!$G$6:$G$1000000,"SSP")</f>
        <v>0</v>
      </c>
      <c r="H12" s="22">
        <f>-SUMIFS(Donnees!$I$6:$I$1000000,Donnees!$L$6:$L$1000000,"G",Donnees!$K$6:$K$1000000,"06",Donnees!$G$6:$G$1000000,"SSP")+SUMIFS(Donnees!$J$6:$J$1000000,Donnees!$L$6:$L$1000000,"G",Donnees!$K$6:$K$1000000,"06",Donnees!$G$6:$G$1000000,"SSP")</f>
        <v>0</v>
      </c>
      <c r="I12" s="22">
        <f>-SUMIFS(Donnees!$I$6:$I$1000000,Donnees!$L$6:$L$1000000,"G",Donnees!$K$6:$K$1000000,"07",Donnees!$G$6:$G$1000000,"SSP")+SUMIFS(Donnees!$J$6:$J$1000000,Donnees!$L$6:$L$1000000,"G",Donnees!$K$6:$K$1000000,"07",Donnees!$G$6:$G$1000000,"SSP")</f>
        <v>0</v>
      </c>
      <c r="J12" s="22">
        <f>-SUMIFS(Donnees!$I$6:$I$1000000,Donnees!$L$6:$L$1000000,"G",Donnees!$K$6:$K$1000000,"08",Donnees!$G$6:$G$1000000,"SSP")+SUMIFS(Donnees!$J$6:$J$1000000,Donnees!$L$6:$L$1000000,"G",Donnees!$K$6:$K$1000000,"08",Donnees!$G$6:$G$1000000,"SSP")</f>
        <v>0</v>
      </c>
      <c r="K12" s="22">
        <f>-SUMIFS(Donnees!$I$6:$I$1000000,Donnees!$L$6:$L$1000000,"G",Donnees!$K$6:$K$1000000,"09",Donnees!$G$6:$G$1000000,"SSP")+SUMIFS(Donnees!$J$6:$J$1000000,Donnees!$L$6:$L$1000000,"G",Donnees!$K$6:$K$1000000,"09",Donnees!$G$6:$G$1000000,"SSP")</f>
        <v>0</v>
      </c>
      <c r="L12" s="22">
        <f>-SUMIFS(Donnees!$I$6:$I$1000000,Donnees!$L$6:$L$1000000,"G",Donnees!$K$6:$K$1000000,"10",Donnees!$G$6:$G$1000000,"SSP")+SUMIFS(Donnees!$J$6:$J$1000000,Donnees!$L$6:$L$1000000,"G",Donnees!$K$6:$K$1000000,"10",Donnees!$G$6:$G$1000000,"SSP")</f>
        <v>39410000</v>
      </c>
      <c r="M12" s="22">
        <f>-SUMIFS(Donnees!$I$6:$I$1000000,Donnees!$L$6:$L$1000000,"G",Donnees!$K$6:$K$1000000,"11",Donnees!$G$6:$G$1000000,"SSP")+SUMIFS(Donnees!$J$6:$J$1000000,Donnees!$L$6:$L$1000000,"G",Donnees!$K$6:$K$1000000,"11",Donnees!$G$6:$G$1000000,"SSP")</f>
        <v>12000</v>
      </c>
      <c r="N12" s="22">
        <f>-SUMIFS(Donnees!$I$6:$I$1000000,Donnees!$L$6:$L$1000000,"G",Donnees!$K$6:$K$1000000,"12",Donnees!$G$6:$G$1000000,"SSP")+SUMIFS(Donnees!$J$6:$J$1000000,Donnees!$L$6:$L$1000000,"G",Donnees!$K$6:$K$1000000,"12",Donnees!$G$6:$G$1000000,"SSP")</f>
        <v>14000</v>
      </c>
      <c r="O12" s="23">
        <f>SUM(C12:N12)</f>
        <v>44916000</v>
      </c>
    </row>
    <row r="13" spans="2:15" ht="15" customHeight="1" x14ac:dyDescent="0.25">
      <c r="B13" s="42" t="s">
        <v>71</v>
      </c>
      <c r="C13" s="21">
        <f>-SUMIFS(Donnees!$I$6:$I$1000000,Donnees!$L$6:$L$1000000,"G",Donnees!$K$6:$K$1000000,"01",Donnees!$G$6:$G$1000000,"SCI")+SUMIFS(Donnees!$J$6:$J$1000000,Donnees!$L$6:$L$1000000,"G",Donnees!$K$6:$K$1000000,"01",Donnees!$G$6:$G$1000000,"SCI")</f>
        <v>0</v>
      </c>
      <c r="D13" s="22">
        <f>-SUMIFS(Donnees!$I$6:$I$1000000,Donnees!$L$6:$L$1000000,"G",Donnees!$K$6:$K$1000000,"02",Donnees!$G$6:$G$1000000,"SCI")+SUMIFS(Donnees!$J$6:$J$1000000,Donnees!$L$6:$L$1000000,"G",Donnees!$K$6:$K$1000000,"02",Donnees!$G$6:$G$1000000,"SCI")</f>
        <v>32000</v>
      </c>
      <c r="E13" s="22">
        <f>-SUMIFS(Donnees!$I$6:$I$1000000,Donnees!$L$6:$L$1000000,"G",Donnees!$K$6:$K$1000000,"03",Donnees!$G$6:$G$1000000,"SCI")+SUMIFS(Donnees!$J$6:$J$1000000,Donnees!$L$6:$L$1000000,"G",Donnees!$K$6:$K$1000000,"03",Donnees!$G$6:$G$1000000,"SCI")</f>
        <v>0</v>
      </c>
      <c r="F13" s="22">
        <f>-SUMIFS(Donnees!$I$6:$I$1000000,Donnees!$L$6:$L$1000000,"G",Donnees!$K$6:$K$1000000,"04",Donnees!$G$6:$G$1000000,"SCI")+SUMIFS(Donnees!$J$6:$J$1000000,Donnees!$L$6:$L$1000000,"G",Donnees!$K$6:$K$1000000,"04",Donnees!$G$6:$G$1000000,"SCI")</f>
        <v>0</v>
      </c>
      <c r="G13" s="22">
        <f>-SUMIFS(Donnees!$I$6:$I$1000000,Donnees!$L$6:$L$1000000,"G",Donnees!$K$6:$K$1000000,"05",Donnees!$G$6:$G$1000000,"SCI")+SUMIFS(Donnees!$J$6:$J$1000000,Donnees!$L$6:$L$1000000,"G",Donnees!$K$6:$K$1000000,"05",Donnees!$G$6:$G$1000000,"SCI")</f>
        <v>0</v>
      </c>
      <c r="H13" s="22">
        <f>-SUMIFS(Donnees!$I$6:$I$1000000,Donnees!$L$6:$L$1000000,"G",Donnees!$K$6:$K$1000000,"06",Donnees!$G$6:$G$1000000,"SCI")+SUMIFS(Donnees!$J$6:$J$1000000,Donnees!$L$6:$L$1000000,"G",Donnees!$K$6:$K$1000000,"06",Donnees!$G$6:$G$1000000,"SCI")</f>
        <v>0</v>
      </c>
      <c r="I13" s="22">
        <f>-SUMIFS(Donnees!$I$6:$I$1000000,Donnees!$L$6:$L$1000000,"G",Donnees!$K$6:$K$1000000,"07",Donnees!$G$6:$G$1000000,"SCI")+SUMIFS(Donnees!$J$6:$J$1000000,Donnees!$L$6:$L$1000000,"G",Donnees!$K$6:$K$1000000,"07",Donnees!$G$6:$G$1000000,"SCI")</f>
        <v>0</v>
      </c>
      <c r="J13" s="22">
        <f>-SUMIFS(Donnees!$I$6:$I$1000000,Donnees!$L$6:$L$1000000,"G",Donnees!$K$6:$K$1000000,"08",Donnees!$G$6:$G$1000000,"SCI")+SUMIFS(Donnees!$J$6:$J$1000000,Donnees!$L$6:$L$1000000,"G",Donnees!$K$6:$K$1000000,"08",Donnees!$G$6:$G$1000000,"SCI")</f>
        <v>0</v>
      </c>
      <c r="K13" s="22">
        <f>-SUMIFS(Donnees!$I$6:$I$1000000,Donnees!$L$6:$L$1000000,"G",Donnees!$K$6:$K$1000000,"09",Donnees!$G$6:$G$1000000,"SCI")+SUMIFS(Donnees!$J$6:$J$1000000,Donnees!$L$6:$L$1000000,"G",Donnees!$K$6:$K$1000000,"09",Donnees!$G$6:$G$1000000,"SCI")</f>
        <v>0</v>
      </c>
      <c r="L13" s="22">
        <f>-SUMIFS(Donnees!$I$6:$I$1000000,Donnees!$L$6:$L$1000000,"G",Donnees!$K$6:$K$1000000,"10",Donnees!$G$6:$G$1000000,"SCI")+SUMIFS(Donnees!$J$6:$J$1000000,Donnees!$L$6:$L$1000000,"G",Donnees!$K$6:$K$1000000,"10",Donnees!$G$6:$G$1000000,"SCI")</f>
        <v>0</v>
      </c>
      <c r="M13" s="22">
        <f>-SUMIFS(Donnees!$I$6:$I$1000000,Donnees!$L$6:$L$1000000,"G",Donnees!$K$6:$K$1000000,"11",Donnees!$G$6:$G$1000000,"SCI")+SUMIFS(Donnees!$J$6:$J$1000000,Donnees!$L$6:$L$1000000,"G",Donnees!$K$6:$K$1000000,"11",Donnees!$G$6:$G$1000000,"SCI")</f>
        <v>0</v>
      </c>
      <c r="N13" s="22">
        <f>-SUMIFS(Donnees!$I$6:$I$1000000,Donnees!$L$6:$L$1000000,"G",Donnees!$K$6:$K$1000000,"12",Donnees!$G$6:$G$1000000,"SCI")+SUMIFS(Donnees!$J$6:$J$1000000,Donnees!$L$6:$L$1000000,"G",Donnees!$K$6:$K$1000000,"12",Donnees!$G$6:$G$1000000,"SCI")</f>
        <v>0</v>
      </c>
      <c r="O13" s="23">
        <f>SUM(C13:N13)</f>
        <v>32000</v>
      </c>
    </row>
    <row r="14" spans="2:15" ht="15" customHeight="1" x14ac:dyDescent="0.25">
      <c r="B14" s="43" t="s">
        <v>18</v>
      </c>
      <c r="C14" s="21">
        <f>-SUMIFS(Donnees!$I$6:$I$1000000,Donnees!$L$6:$L$1000000,"G",Donnees!$K$6:$K$1000000,"01",Donnees!$G$6:$G$1000000,"AFE")+SUMIFS(Donnees!$J$6:$J$1000000,Donnees!$L$6:$L$1000000,"G",Donnees!$K$6:$K$1000000,"01",Donnees!$G$6:$G$1000000,"AFE")</f>
        <v>0</v>
      </c>
      <c r="D14" s="22">
        <f>-SUMIFS(Donnees!$I$6:$I$1000000,Donnees!$L$6:$L$1000000,"G",Donnees!$K$6:$K$1000000,"02",Donnees!$G$6:$G$1000000,"AFE")+SUMIFS(Donnees!$J$6:$J$1000000,Donnees!$L$6:$L$1000000,"G",Donnees!$K$6:$K$1000000,"02",Donnees!$G$6:$G$1000000,"AFE")</f>
        <v>0</v>
      </c>
      <c r="E14" s="22">
        <f>-SUMIFS(Donnees!$I$6:$I$1000000,Donnees!$L$6:$L$1000000,"G",Donnees!$K$6:$K$1000000,"03",Donnees!$G$6:$G$1000000,"AFE")+SUMIFS(Donnees!$J$6:$J$1000000,Donnees!$L$6:$L$1000000,"G",Donnees!$K$6:$K$1000000,"03",Donnees!$G$6:$G$1000000,"AFE")</f>
        <v>0</v>
      </c>
      <c r="F14" s="22">
        <f>-SUMIFS(Donnees!$I$6:$I$1000000,Donnees!$L$6:$L$1000000,"G",Donnees!$K$6:$K$1000000,"04",Donnees!$G$6:$G$1000000,"AFE")+SUMIFS(Donnees!$J$6:$J$1000000,Donnees!$L$6:$L$1000000,"G",Donnees!$K$6:$K$1000000,"04",Donnees!$G$6:$G$1000000,"AFE")</f>
        <v>0</v>
      </c>
      <c r="G14" s="22">
        <f>-SUMIFS(Donnees!$I$6:$I$1000000,Donnees!$L$6:$L$1000000,"G",Donnees!$K$6:$K$1000000,"05",Donnees!$G$6:$G$1000000,"AFE")+SUMIFS(Donnees!$J$6:$J$1000000,Donnees!$L$6:$L$1000000,"G",Donnees!$K$6:$K$1000000,"05",Donnees!$G$6:$G$1000000,"AFE")</f>
        <v>0</v>
      </c>
      <c r="H14" s="22">
        <f>-SUMIFS(Donnees!$I$6:$I$1000000,Donnees!$L$6:$L$1000000,"G",Donnees!$K$6:$K$1000000,"06",Donnees!$G$6:$G$1000000,"AFE")+SUMIFS(Donnees!$J$6:$J$1000000,Donnees!$L$6:$L$1000000,"G",Donnees!$K$6:$K$1000000,"06",Donnees!$G$6:$G$1000000,"AFE")</f>
        <v>0</v>
      </c>
      <c r="I14" s="22">
        <f>-SUMIFS(Donnees!$I$6:$I$1000000,Donnees!$L$6:$L$1000000,"G",Donnees!$K$6:$K$1000000,"07",Donnees!$G$6:$G$1000000,"AFE")+SUMIFS(Donnees!$J$6:$J$1000000,Donnees!$L$6:$L$1000000,"G",Donnees!$K$6:$K$1000000,"07",Donnees!$G$6:$G$1000000,"AFE")</f>
        <v>0</v>
      </c>
      <c r="J14" s="22">
        <f>-SUMIFS(Donnees!$I$6:$I$1000000,Donnees!$L$6:$L$1000000,"G",Donnees!$K$6:$K$1000000,"08",Donnees!$G$6:$G$1000000,"AFE")+SUMIFS(Donnees!$J$6:$J$1000000,Donnees!$L$6:$L$1000000,"G",Donnees!$K$6:$K$1000000,"08",Donnees!$G$6:$G$1000000,"AFE")</f>
        <v>2260000</v>
      </c>
      <c r="K14" s="22">
        <f>-SUMIFS(Donnees!$I$6:$I$1000000,Donnees!$L$6:$L$1000000,"G",Donnees!$K$6:$K$1000000,"09",Donnees!$G$6:$G$1000000,"AFE")+SUMIFS(Donnees!$J$6:$J$1000000,Donnees!$L$6:$L$1000000,"G",Donnees!$K$6:$K$1000000,"09",Donnees!$G$6:$G$1000000,"AFE")</f>
        <v>440000</v>
      </c>
      <c r="L14" s="22">
        <f>-SUMIFS(Donnees!$I$6:$I$1000000,Donnees!$L$6:$L$1000000,"G",Donnees!$K$6:$K$1000000,"10",Donnees!$G$6:$G$1000000,"AFE")+SUMIFS(Donnees!$J$6:$J$1000000,Donnees!$L$6:$L$1000000,"G",Donnees!$K$6:$K$1000000,"10",Donnees!$G$6:$G$1000000,"AFE")</f>
        <v>2105000</v>
      </c>
      <c r="M14" s="22">
        <f>-SUMIFS(Donnees!$I$6:$I$1000000,Donnees!$L$6:$L$1000000,"G",Donnees!$K$6:$K$1000000,"11",Donnees!$G$6:$G$1000000,"AFE")+SUMIFS(Donnees!$J$6:$J$1000000,Donnees!$L$6:$L$1000000,"G",Donnees!$K$6:$K$1000000,"11",Donnees!$G$6:$G$1000000,"AFE")</f>
        <v>2214000</v>
      </c>
      <c r="N14" s="22">
        <f>-SUMIFS(Donnees!$I$6:$I$1000000,Donnees!$L$6:$L$1000000,"G",Donnees!$K$6:$K$1000000,"12",Donnees!$G$6:$G$1000000,"AFE")+SUMIFS(Donnees!$J$6:$J$1000000,Donnees!$L$6:$L$1000000,"G",Donnees!$K$6:$K$1000000,"12",Donnees!$G$6:$G$1000000,"AFE")</f>
        <v>3518000</v>
      </c>
      <c r="O14" s="23">
        <f t="shared" ref="O14:O30" si="2">SUM(C14:N14)</f>
        <v>10537000</v>
      </c>
    </row>
    <row r="15" spans="2:15" ht="15" customHeight="1" x14ac:dyDescent="0.25">
      <c r="B15" s="43" t="s">
        <v>19</v>
      </c>
      <c r="C15" s="21">
        <f>-SUMIFS(Donnees!$I$6:$I$1000000,Donnees!$L$6:$L$1000000,"G",Donnees!$K$6:$K$1000000,"01",Donnees!$G$6:$G$1000000,"FIA")+SUMIFS(Donnees!$J$6:$J$1000000,Donnees!$L$6:$L$1000000,"G",Donnees!$K$6:$K$1000000,"01",Donnees!$G$6:$G$1000000,"FIA")</f>
        <v>0</v>
      </c>
      <c r="D15" s="22">
        <f>-SUMIFS(Donnees!$I$6:$I$1000000,Donnees!$L$6:$L$1000000,"G",Donnees!$K$6:$K$1000000,"02",Donnees!$G$6:$G$1000000,"FIA")+SUMIFS(Donnees!$J$6:$J$1000000,Donnees!$L$6:$L$1000000,"G",Donnees!$K$6:$K$1000000,"02",Donnees!$G$6:$G$1000000,"FIA")</f>
        <v>440000</v>
      </c>
      <c r="E15" s="22">
        <f>-SUMIFS(Donnees!$I$6:$I$1000000,Donnees!$L$6:$L$1000000,"G",Donnees!$K$6:$K$1000000,"03",Donnees!$G$6:$G$1000000,"FIA")+SUMIFS(Donnees!$J$6:$J$1000000,Donnees!$L$6:$L$1000000,"G",Donnees!$K$6:$K$1000000,"03",Donnees!$G$6:$G$1000000,"FIA")</f>
        <v>0</v>
      </c>
      <c r="F15" s="22">
        <f>-SUMIFS(Donnees!$I$6:$I$1000000,Donnees!$L$6:$L$1000000,"G",Donnees!$K$6:$K$1000000,"04",Donnees!$G$6:$G$1000000,"FIA")+SUMIFS(Donnees!$J$6:$J$1000000,Donnees!$L$6:$L$1000000,"G",Donnees!$K$6:$K$1000000,"04",Donnees!$G$6:$G$1000000,"FIA")</f>
        <v>0</v>
      </c>
      <c r="G15" s="22">
        <f>-SUMIFS(Donnees!$I$6:$I$1000000,Donnees!$L$6:$L$1000000,"G",Donnees!$K$6:$K$1000000,"05",Donnees!$G$6:$G$1000000,"FIA")+SUMIFS(Donnees!$J$6:$J$1000000,Donnees!$L$6:$L$1000000,"G",Donnees!$K$6:$K$1000000,"05",Donnees!$G$6:$G$1000000,"FIA")</f>
        <v>0</v>
      </c>
      <c r="H15" s="22">
        <f>-SUMIFS(Donnees!$I$6:$I$1000000,Donnees!$L$6:$L$1000000,"G",Donnees!$K$6:$K$1000000,"06",Donnees!$G$6:$G$1000000,"FIA")+SUMIFS(Donnees!$J$6:$J$1000000,Donnees!$L$6:$L$1000000,"G",Donnees!$K$6:$K$1000000,"06",Donnees!$G$6:$G$1000000,"FIA")</f>
        <v>0</v>
      </c>
      <c r="I15" s="22">
        <f>-SUMIFS(Donnees!$I$6:$I$1000000,Donnees!$L$6:$L$1000000,"G",Donnees!$K$6:$K$1000000,"07",Donnees!$G$6:$G$1000000,"FIA")+SUMIFS(Donnees!$J$6:$J$1000000,Donnees!$L$6:$L$1000000,"G",Donnees!$K$6:$K$1000000,"07",Donnees!$G$6:$G$1000000,"FIA")</f>
        <v>2260000</v>
      </c>
      <c r="J15" s="22">
        <f>-SUMIFS(Donnees!$I$6:$I$1000000,Donnees!$L$6:$L$1000000,"G",Donnees!$K$6:$K$1000000,"08",Donnees!$G$6:$G$1000000,"FIA")+SUMIFS(Donnees!$J$6:$J$1000000,Donnees!$L$6:$L$1000000,"G",Donnees!$K$6:$K$1000000,"08",Donnees!$G$6:$G$1000000,"FIA")</f>
        <v>0</v>
      </c>
      <c r="K15" s="22">
        <f>-SUMIFS(Donnees!$I$6:$I$1000000,Donnees!$L$6:$L$1000000,"G",Donnees!$K$6:$K$1000000,"09",Donnees!$G$6:$G$1000000,"FIA")+SUMIFS(Donnees!$J$6:$J$1000000,Donnees!$L$6:$L$1000000,"G",Donnees!$K$6:$K$1000000,"09",Donnees!$G$6:$G$1000000,"FIA")</f>
        <v>0</v>
      </c>
      <c r="L15" s="22">
        <f>-SUMIFS(Donnees!$I$6:$I$1000000,Donnees!$L$6:$L$1000000,"G",Donnees!$K$6:$K$1000000,"10",Donnees!$G$6:$G$1000000,"FIA")+SUMIFS(Donnees!$J$6:$J$1000000,Donnees!$L$6:$L$1000000,"G",Donnees!$K$6:$K$1000000,"10",Donnees!$G$6:$G$1000000,"FIA")</f>
        <v>4814000</v>
      </c>
      <c r="M15" s="22">
        <f>-SUMIFS(Donnees!$I$6:$I$1000000,Donnees!$L$6:$L$1000000,"G",Donnees!$K$6:$K$1000000,"11",Donnees!$G$6:$G$1000000,"FIA")+SUMIFS(Donnees!$J$6:$J$1000000,Donnees!$L$6:$L$1000000,"G",Donnees!$K$6:$K$1000000,"11",Donnees!$G$6:$G$1000000,"FIA")</f>
        <v>2820000</v>
      </c>
      <c r="N15" s="22">
        <f>-SUMIFS(Donnees!$I$6:$I$1000000,Donnees!$L$6:$L$1000000,"G",Donnees!$K$6:$K$1000000,"12",Donnees!$G$6:$G$1000000,"FIA")+SUMIFS(Donnees!$J$6:$J$1000000,Donnees!$L$6:$L$1000000,"G",Donnees!$K$6:$K$1000000,"12",Donnees!$G$6:$G$1000000,"FIA")</f>
        <v>0</v>
      </c>
      <c r="O15" s="23">
        <f t="shared" si="2"/>
        <v>10334000</v>
      </c>
    </row>
    <row r="16" spans="2:15" ht="15" customHeight="1" x14ac:dyDescent="0.25">
      <c r="B16" s="43" t="s">
        <v>20</v>
      </c>
      <c r="C16" s="21">
        <f>-SUMIFS(Donnees!$I$6:$I$1000000,Donnees!$L$6:$L$1000000,"G",Donnees!$K$6:$K$1000000,"01",Donnees!$G$6:$G$1000000,"AFP")+SUMIFS(Donnees!$J$6:$J$1000000,Donnees!$L$6:$L$1000000,"G",Donnees!$K$6:$K$1000000,"01",Donnees!$G$6:$G$1000000,"AFP")</f>
        <v>0</v>
      </c>
      <c r="D16" s="22">
        <f>-SUMIFS(Donnees!$I$6:$I$1000000,Donnees!$L$6:$L$1000000,"G",Donnees!$K$6:$K$1000000,"02",Donnees!$G$6:$G$1000000,"AFP")+SUMIFS(Donnees!$J$6:$J$1000000,Donnees!$L$6:$L$1000000,"G",Donnees!$K$6:$K$1000000,"02",Donnees!$G$6:$G$1000000,"AFP")</f>
        <v>0</v>
      </c>
      <c r="E16" s="22">
        <f>-SUMIFS(Donnees!$I$6:$I$1000000,Donnees!$L$6:$L$1000000,"G",Donnees!$K$6:$K$1000000,"03",Donnees!$G$6:$G$1000000,"AFP")+SUMIFS(Donnees!$J$6:$J$1000000,Donnees!$L$6:$L$1000000,"G",Donnees!$K$6:$K$1000000,"03",Donnees!$G$6:$G$1000000,"AFP")</f>
        <v>0</v>
      </c>
      <c r="F16" s="22">
        <f>-SUMIFS(Donnees!$I$6:$I$1000000,Donnees!$L$6:$L$1000000,"G",Donnees!$K$6:$K$1000000,"04",Donnees!$G$6:$G$1000000,"AFP")+SUMIFS(Donnees!$J$6:$J$1000000,Donnees!$L$6:$L$1000000,"G",Donnees!$K$6:$K$1000000,"04",Donnees!$G$6:$G$1000000,"AFP")</f>
        <v>5320000</v>
      </c>
      <c r="G16" s="22">
        <f>-SUMIFS(Donnees!$I$6:$I$1000000,Donnees!$L$6:$L$1000000,"G",Donnees!$K$6:$K$1000000,"05",Donnees!$G$6:$G$1000000,"AFP")+SUMIFS(Donnees!$J$6:$J$1000000,Donnees!$L$6:$L$1000000,"G",Donnees!$K$6:$K$1000000,"05",Donnees!$G$6:$G$1000000,"AFP")</f>
        <v>0</v>
      </c>
      <c r="H16" s="22">
        <f>-SUMIFS(Donnees!$I$6:$I$1000000,Donnees!$L$6:$L$1000000,"G",Donnees!$K$6:$K$1000000,"06",Donnees!$G$6:$G$1000000,"AFP")+SUMIFS(Donnees!$J$6:$J$1000000,Donnees!$L$6:$L$1000000,"G",Donnees!$K$6:$K$1000000,"06",Donnees!$G$6:$G$1000000,"AFP")</f>
        <v>160000</v>
      </c>
      <c r="I16" s="22">
        <f>-SUMIFS(Donnees!$I$6:$I$1000000,Donnees!$L$6:$L$1000000,"G",Donnees!$K$6:$K$1000000,"07",Donnees!$G$6:$G$1000000,"AFP")+SUMIFS(Donnees!$J$6:$J$1000000,Donnees!$L$6:$L$1000000,"G",Donnees!$K$6:$K$1000000,"07",Donnees!$G$6:$G$1000000,"AFP")</f>
        <v>0</v>
      </c>
      <c r="J16" s="22">
        <f>-SUMIFS(Donnees!$I$6:$I$1000000,Donnees!$L$6:$L$1000000,"G",Donnees!$K$6:$K$1000000,"08",Donnees!$G$6:$G$1000000,"AFP")+SUMIFS(Donnees!$J$6:$J$1000000,Donnees!$L$6:$L$1000000,"G",Donnees!$K$6:$K$1000000,"08",Donnees!$G$6:$G$1000000,"AFP")</f>
        <v>0</v>
      </c>
      <c r="K16" s="22">
        <f>-SUMIFS(Donnees!$I$6:$I$1000000,Donnees!$L$6:$L$1000000,"G",Donnees!$K$6:$K$1000000,"09",Donnees!$G$6:$G$1000000,"AFP")+SUMIFS(Donnees!$J$6:$J$1000000,Donnees!$L$6:$L$1000000,"G",Donnees!$K$6:$K$1000000,"09",Donnees!$G$6:$G$1000000,"AFP")</f>
        <v>0</v>
      </c>
      <c r="L16" s="22">
        <f>-SUMIFS(Donnees!$I$6:$I$1000000,Donnees!$L$6:$L$1000000,"G",Donnees!$K$6:$K$1000000,"10",Donnees!$G$6:$G$1000000,"AFP")+SUMIFS(Donnees!$J$6:$J$1000000,Donnees!$L$6:$L$1000000,"G",Donnees!$K$6:$K$1000000,"10",Donnees!$G$6:$G$1000000,"AFP")</f>
        <v>6017000</v>
      </c>
      <c r="M16" s="22">
        <f>-SUMIFS(Donnees!$I$6:$I$1000000,Donnees!$L$6:$L$1000000,"G",Donnees!$K$6:$K$1000000,"11",Donnees!$G$6:$G$1000000,"AFP")+SUMIFS(Donnees!$J$6:$J$1000000,Donnees!$L$6:$L$1000000,"G",Donnees!$K$6:$K$1000000,"11",Donnees!$G$6:$G$1000000,"AFP")</f>
        <v>0</v>
      </c>
      <c r="N16" s="22">
        <f>-SUMIFS(Donnees!$I$6:$I$1000000,Donnees!$L$6:$L$1000000,"G",Donnees!$K$6:$K$1000000,"12",Donnees!$G$6:$G$1000000,"AFP")+SUMIFS(Donnees!$J$6:$J$1000000,Donnees!$L$6:$L$1000000,"G",Donnees!$K$6:$K$1000000,"12",Donnees!$G$6:$G$1000000,"AFP")</f>
        <v>3728000</v>
      </c>
      <c r="O16" s="23">
        <f t="shared" si="2"/>
        <v>15225000</v>
      </c>
    </row>
    <row r="17" spans="2:15" ht="15" customHeight="1" thickBot="1" x14ac:dyDescent="0.3">
      <c r="B17" s="44" t="s">
        <v>67</v>
      </c>
      <c r="C17" s="10">
        <f>-SUMIFS(Donnees!$I$6:$I$1000000,Donnees!$L$6:$L$1000000,"G",Donnees!$K$6:$K$1000000,"01",Donnees!$G$6:$G$1000000,"REP")+SUMIFS(Donnees!$J$6:$J$1000000,Donnees!$L$6:$L$1000000,"G",Donnees!$K$6:$K$1000000,"01",Donnees!$G$6:$G$1000000,"REP")</f>
        <v>21920000</v>
      </c>
      <c r="D17" s="11">
        <f>-SUMIFS(Donnees!$I$6:$I$1000000,Donnees!$L$6:$L$1000000,"G",Donnees!$K$6:$K$1000000,"02",Donnees!$G$6:$G$1000000,"REP")+SUMIFS(Donnees!$J$6:$J$1000000,Donnees!$L$6:$L$1000000,"G",Donnees!$K$6:$K$1000000,"02",Donnees!$G$6:$G$1000000,"REP")</f>
        <v>16440000</v>
      </c>
      <c r="E17" s="11">
        <f>-SUMIFS(Donnees!$I$6:$I$1000000,Donnees!$L$6:$L$1000000,"G",Donnees!$K$6:$K$1000000,"03",Donnees!$G$6:$G$1000000,"REP")+SUMIFS(Donnees!$J$6:$J$1000000,Donnees!$L$6:$L$1000000,"G",Donnees!$K$6:$K$1000000,"03",Donnees!$G$6:$G$1000000,"REP")</f>
        <v>10960000</v>
      </c>
      <c r="F17" s="11">
        <f>-SUMIFS(Donnees!$I$6:$I$1000000,Donnees!$L$6:$L$1000000,"G",Donnees!$K$6:$K$1000000,"04",Donnees!$G$6:$G$1000000,"REP")+SUMIFS(Donnees!$J$6:$J$1000000,Donnees!$L$6:$L$1000000,"G",Donnees!$K$6:$K$1000000,"04",Donnees!$G$6:$G$1000000,"REP")</f>
        <v>10960000</v>
      </c>
      <c r="G17" s="11">
        <f>-SUMIFS(Donnees!$I$6:$I$1000000,Donnees!$L$6:$L$1000000,"G",Donnees!$K$6:$K$1000000,"05",Donnees!$G$6:$G$1000000,"REP")+SUMIFS(Donnees!$J$6:$J$1000000,Donnees!$L$6:$L$1000000,"G",Donnees!$K$6:$K$1000000,"05",Donnees!$G$6:$G$1000000,"REP")</f>
        <v>8100000</v>
      </c>
      <c r="H17" s="11">
        <f>-SUMIFS(Donnees!$I$6:$I$1000000,Donnees!$L$6:$L$1000000,"G",Donnees!$K$6:$K$1000000,"06",Donnees!$G$6:$G$1000000,"REP")+SUMIFS(Donnees!$J$6:$J$1000000,Donnees!$L$6:$L$1000000,"G",Donnees!$K$6:$K$1000000,"06",Donnees!$G$6:$G$1000000,"REP")</f>
        <v>8100000</v>
      </c>
      <c r="I17" s="11">
        <f>-SUMIFS(Donnees!$I$6:$I$1000000,Donnees!$L$6:$L$1000000,"G",Donnees!$K$6:$K$1000000,"07",Donnees!$G$6:$G$1000000,"REP")+SUMIFS(Donnees!$J$6:$J$1000000,Donnees!$L$6:$L$1000000,"G",Donnees!$K$6:$K$1000000,"07",Donnees!$G$6:$G$1000000,"REP")</f>
        <v>5400000</v>
      </c>
      <c r="J17" s="11">
        <f>-SUMIFS(Donnees!$I$6:$I$1000000,Donnees!$L$6:$L$1000000,"G",Donnees!$K$6:$K$1000000,"08",Donnees!$G$6:$G$1000000,"REP")+SUMIFS(Donnees!$J$6:$J$1000000,Donnees!$L$6:$L$1000000,"G",Donnees!$K$6:$K$1000000,"08",Donnees!$G$6:$G$1000000,"REP")</f>
        <v>10800000</v>
      </c>
      <c r="K17" s="11">
        <f>-SUMIFS(Donnees!$I$6:$I$1000000,Donnees!$L$6:$L$1000000,"G",Donnees!$K$6:$K$1000000,"09",Donnees!$G$6:$G$1000000,"REP")+SUMIFS(Donnees!$J$6:$J$1000000,Donnees!$L$6:$L$1000000,"G",Donnees!$K$6:$K$1000000,"09",Donnees!$G$6:$G$1000000,"REP")</f>
        <v>2700000</v>
      </c>
      <c r="L17" s="11">
        <f>-SUMIFS(Donnees!$I$6:$I$1000000,Donnees!$L$6:$L$1000000,"G",Donnees!$K$6:$K$1000000,"10",Donnees!$G$6:$G$1000000,"REP")+SUMIFS(Donnees!$J$6:$J$1000000,Donnees!$L$6:$L$1000000,"G",Donnees!$K$6:$K$1000000,"10",Donnees!$G$6:$G$1000000,"REP")</f>
        <v>35600000</v>
      </c>
      <c r="M17" s="11">
        <f>-SUMIFS(Donnees!$I$6:$I$1000000,Donnees!$L$6:$L$1000000,"G",Donnees!$K$6:$K$1000000,"11",Donnees!$G$6:$G$1000000,"REP")+SUMIFS(Donnees!$J$6:$J$1000000,Donnees!$L$6:$L$1000000,"G",Donnees!$K$6:$K$1000000,"11",Donnees!$G$6:$G$1000000,"REP")</f>
        <v>5340000</v>
      </c>
      <c r="N17" s="11">
        <f>-SUMIFS(Donnees!$I$6:$I$1000000,Donnees!$L$6:$L$1000000,"G",Donnees!$K$6:$K$1000000,"12",Donnees!$G$6:$G$1000000,"REP")+SUMIFS(Donnees!$J$6:$J$1000000,Donnees!$L$6:$L$1000000,"G",Donnees!$K$6:$K$1000000,"12",Donnees!$G$6:$G$1000000,"REP")</f>
        <v>3904000</v>
      </c>
      <c r="O17" s="12">
        <f t="shared" si="2"/>
        <v>140224000</v>
      </c>
    </row>
    <row r="18" spans="2:15" ht="15" customHeight="1" thickBot="1" x14ac:dyDescent="0.3">
      <c r="B18" s="17" t="s">
        <v>21</v>
      </c>
      <c r="C18" s="18">
        <f t="shared" ref="C18:O18" si="3">SUM(C19:C22)</f>
        <v>0</v>
      </c>
      <c r="D18" s="18">
        <f t="shared" si="3"/>
        <v>0</v>
      </c>
      <c r="E18" s="18">
        <f t="shared" si="3"/>
        <v>20000</v>
      </c>
      <c r="F18" s="18">
        <f t="shared" si="3"/>
        <v>200000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4580000</v>
      </c>
      <c r="K18" s="18">
        <f t="shared" si="3"/>
        <v>0</v>
      </c>
      <c r="L18" s="18">
        <f t="shared" si="3"/>
        <v>41000</v>
      </c>
      <c r="M18" s="18">
        <f t="shared" si="3"/>
        <v>122000</v>
      </c>
      <c r="N18" s="18">
        <f t="shared" si="3"/>
        <v>40000</v>
      </c>
      <c r="O18" s="24">
        <f t="shared" si="3"/>
        <v>5003000</v>
      </c>
    </row>
    <row r="19" spans="2:15" ht="15" customHeight="1" x14ac:dyDescent="0.25">
      <c r="B19" s="42" t="s">
        <v>72</v>
      </c>
      <c r="C19" s="21">
        <f>-SUMIFS(Donnees!$I$6:$I$1000000,Donnees!$L$6:$L$1000000,"F",Donnees!$K$6:$K$1000000,"01",Donnees!$G$6:$G$1000000,"SCIF")+SUMIFS(Donnees!$J$6:$J$1000000,Donnees!$L$6:$L$1000000,"F",Donnees!$K$6:$K$1000000,"01",Donnees!$G$6:$G$1000000,"SCIF")</f>
        <v>0</v>
      </c>
      <c r="D19" s="22">
        <f>-SUMIFS(Donnees!$I$6:$I$1000000,Donnees!$L$6:$L$1000000,"F",Donnees!$K$6:$K$1000000,"02",Donnees!$G$6:$G$1000000,"SCIF")+SUMIFS(Donnees!$J$6:$J$1000000,Donnees!$L$6:$L$1000000,"F",Donnees!$K$6:$K$1000000,"02",Donnees!$G$6:$G$1000000,"SCIF")</f>
        <v>0</v>
      </c>
      <c r="E19" s="22">
        <f>-SUMIFS(Donnees!$I$6:$I$1000000,Donnees!$L$6:$L$1000000,"F",Donnees!$K$6:$K$1000000,"03",Donnees!$G$6:$G$1000000,"SCIF")+SUMIFS(Donnees!$J$6:$J$1000000,Donnees!$L$6:$L$1000000,"F",Donnees!$K$6:$K$1000000,"03",Donnees!$G$6:$G$1000000,"SCIF")</f>
        <v>20000</v>
      </c>
      <c r="F19" s="22">
        <f>-SUMIFS(Donnees!$I$6:$I$1000000,Donnees!$L$6:$L$1000000,"F",Donnees!$K$6:$K$1000000,"04",Donnees!$G$6:$G$1000000,"SCIF")+SUMIFS(Donnees!$J$6:$J$1000000,Donnees!$L$6:$L$1000000,"F",Donnees!$K$6:$K$1000000,"04",Donnees!$G$6:$G$1000000,"SCIF")</f>
        <v>0</v>
      </c>
      <c r="G19" s="22">
        <f>-SUMIFS(Donnees!$I$6:$I$1000000,Donnees!$L$6:$L$1000000,"F",Donnees!$K$6:$K$1000000,"05",Donnees!$G$6:$G$1000000,"SCIF")+SUMIFS(Donnees!$J$6:$J$1000000,Donnees!$L$6:$L$1000000,"F",Donnees!$K$6:$K$1000000,"05",Donnees!$G$6:$G$1000000,"SCIF")</f>
        <v>0</v>
      </c>
      <c r="H19" s="22">
        <f>-SUMIFS(Donnees!$I$6:$I$1000000,Donnees!$L$6:$L$1000000,"F",Donnees!$K$6:$K$1000000,"06",Donnees!$G$6:$G$1000000,"SCIF")+SUMIFS(Donnees!$J$6:$J$1000000,Donnees!$L$6:$L$1000000,"F",Donnees!$K$6:$K$1000000,"06",Donnees!$G$6:$G$1000000,"SCIF")</f>
        <v>0</v>
      </c>
      <c r="I19" s="22">
        <f>-SUMIFS(Donnees!$I$6:$I$1000000,Donnees!$L$6:$L$1000000,"F",Donnees!$K$6:$K$1000000,"07",Donnees!$G$6:$G$1000000,"SCIF")+SUMIFS(Donnees!$J$6:$J$1000000,Donnees!$L$6:$L$1000000,"F",Donnees!$K$6:$K$1000000,"07",Donnees!$G$6:$G$1000000,"SCIF")</f>
        <v>0</v>
      </c>
      <c r="J19" s="22">
        <f>-SUMIFS(Donnees!$I$6:$I$1000000,Donnees!$L$6:$L$1000000,"F",Donnees!$K$6:$K$1000000,"08",Donnees!$G$6:$G$1000000,"SCIF")+SUMIFS(Donnees!$J$6:$J$1000000,Donnees!$L$6:$L$1000000,"F",Donnees!$K$6:$K$1000000,"08",Donnees!$G$6:$G$1000000,"SCIF")</f>
        <v>0</v>
      </c>
      <c r="K19" s="22">
        <f>-SUMIFS(Donnees!$I$6:$I$1000000,Donnees!$L$6:$L$1000000,"F",Donnees!$K$6:$K$1000000,"09",Donnees!$G$6:$G$1000000,"SCIF")+SUMIFS(Donnees!$J$6:$J$1000000,Donnees!$L$6:$L$1000000,"F",Donnees!$K$6:$K$1000000,"09",Donnees!$G$6:$G$1000000,"SCIF")</f>
        <v>0</v>
      </c>
      <c r="L19" s="22">
        <f>-SUMIFS(Donnees!$I$6:$I$1000000,Donnees!$L$6:$L$1000000,"F",Donnees!$K$6:$K$1000000,"10",Donnees!$G$6:$G$1000000,"SCIF")+SUMIFS(Donnees!$J$6:$J$1000000,Donnees!$L$6:$L$1000000,"F",Donnees!$K$6:$K$1000000,"10",Donnees!$G$6:$G$1000000,"SCIF")</f>
        <v>0</v>
      </c>
      <c r="M19" s="22">
        <f>-SUMIFS(Donnees!$I$6:$I$1000000,Donnees!$L$6:$L$1000000,"F",Donnees!$K$6:$K$1000000,"11",Donnees!$G$6:$G$1000000,"SCIF")+SUMIFS(Donnees!$J$6:$J$1000000,Donnees!$L$6:$L$1000000,"F",Donnees!$K$6:$K$1000000,"11",Donnees!$G$6:$G$1000000,"SCIF")</f>
        <v>0</v>
      </c>
      <c r="N19" s="22">
        <f>-SUMIFS(Donnees!$I$6:$I$1000000,Donnees!$L$6:$L$1000000,"F",Donnees!$K$6:$K$1000000,"12",Donnees!$G$6:$G$1000000,"SCIF")+SUMIFS(Donnees!$J$6:$J$1000000,Donnees!$L$6:$L$1000000,"F",Donnees!$K$6:$K$1000000,"12",Donnees!$G$6:$G$1000000,"SCIF")</f>
        <v>0</v>
      </c>
      <c r="O19" s="23">
        <f t="shared" ref="O19" si="4">SUM(C19:N19)</f>
        <v>20000</v>
      </c>
    </row>
    <row r="20" spans="2:15" ht="15" customHeight="1" x14ac:dyDescent="0.25">
      <c r="B20" s="42" t="s">
        <v>73</v>
      </c>
      <c r="C20" s="21">
        <f>-SUMIFS(Donnees!$I$6:$I$1000000,Donnees!$L$6:$L$1000000,"F",Donnees!$K$6:$K$1000000,"01",Donnees!$G$6:$G$1000000,"FEF")+SUMIFS(Donnees!$J$6:$J$1000000,Donnees!$L$6:$L$1000000,"F",Donnees!$K$6:$K$1000000,"01",Donnees!$G$6:$G$1000000,"FEF")</f>
        <v>0</v>
      </c>
      <c r="D20" s="22">
        <f>-SUMIFS(Donnees!$I$6:$I$1000000,Donnees!$L$6:$L$1000000,"F",Donnees!$K$6:$K$1000000,"02",Donnees!$G$6:$G$1000000,"FEF")+SUMIFS(Donnees!$J$6:$J$1000000,Donnees!$L$6:$L$1000000,"F",Donnees!$K$6:$K$1000000,"02",Donnees!$G$6:$G$1000000,"FEF")</f>
        <v>0</v>
      </c>
      <c r="E20" s="22">
        <f>-SUMIFS(Donnees!$I$6:$I$1000000,Donnees!$L$6:$L$1000000,"F",Donnees!$K$6:$K$1000000,"03",Donnees!$G$6:$G$1000000,"FEF")+SUMIFS(Donnees!$J$6:$J$1000000,Donnees!$L$6:$L$1000000,"F",Donnees!$K$6:$K$1000000,"03",Donnees!$G$6:$G$1000000,"FEF")</f>
        <v>0</v>
      </c>
      <c r="F20" s="22">
        <f>-SUMIFS(Donnees!$I$6:$I$1000000,Donnees!$L$6:$L$1000000,"F",Donnees!$K$6:$K$1000000,"04",Donnees!$G$6:$G$1000000,"FEF")+SUMIFS(Donnees!$J$6:$J$1000000,Donnees!$L$6:$L$1000000,"F",Donnees!$K$6:$K$1000000,"04",Donnees!$G$6:$G$1000000,"FEF")</f>
        <v>200000</v>
      </c>
      <c r="G20" s="22">
        <f>-SUMIFS(Donnees!$I$6:$I$1000000,Donnees!$L$6:$L$1000000,"F",Donnees!$K$6:$K$1000000,"05",Donnees!$G$6:$G$1000000,"FEF")+SUMIFS(Donnees!$J$6:$J$1000000,Donnees!$L$6:$L$1000000,"F",Donnees!$K$6:$K$1000000,"05",Donnees!$G$6:$G$1000000,"FEF")</f>
        <v>0</v>
      </c>
      <c r="H20" s="22">
        <f>-SUMIFS(Donnees!$I$6:$I$1000000,Donnees!$L$6:$L$1000000,"F",Donnees!$K$6:$K$1000000,"06",Donnees!$G$6:$G$1000000,"FEF")+SUMIFS(Donnees!$J$6:$J$1000000,Donnees!$L$6:$L$1000000,"F",Donnees!$K$6:$K$1000000,"06",Donnees!$G$6:$G$1000000,"FEF")</f>
        <v>0</v>
      </c>
      <c r="I20" s="22">
        <f>-SUMIFS(Donnees!$I$6:$I$1000000,Donnees!$L$6:$L$1000000,"F",Donnees!$K$6:$K$1000000,"07",Donnees!$G$6:$G$1000000,"FEF")+SUMIFS(Donnees!$J$6:$J$1000000,Donnees!$L$6:$L$1000000,"F",Donnees!$K$6:$K$1000000,"07",Donnees!$G$6:$G$1000000,"FEF")</f>
        <v>0</v>
      </c>
      <c r="J20" s="22">
        <f>-SUMIFS(Donnees!$I$6:$I$1000000,Donnees!$L$6:$L$1000000,"F",Donnees!$K$6:$K$1000000,"08",Donnees!$G$6:$G$1000000,"FEF")+SUMIFS(Donnees!$J$6:$J$1000000,Donnees!$L$6:$L$1000000,"F",Donnees!$K$6:$K$1000000,"08",Donnees!$G$6:$G$1000000,"FEF")</f>
        <v>0</v>
      </c>
      <c r="K20" s="22">
        <f>-SUMIFS(Donnees!$I$6:$I$1000000,Donnees!$L$6:$L$1000000,"F",Donnees!$K$6:$K$1000000,"09",Donnees!$G$6:$G$1000000,"FEF")+SUMIFS(Donnees!$J$6:$J$1000000,Donnees!$L$6:$L$1000000,"F",Donnees!$K$6:$K$1000000,"09",Donnees!$G$6:$G$1000000,"FEF")</f>
        <v>0</v>
      </c>
      <c r="L20" s="22">
        <f>-SUMIFS(Donnees!$I$6:$I$1000000,Donnees!$L$6:$L$1000000,"F",Donnees!$K$6:$K$1000000,"10",Donnees!$G$6:$G$1000000,"FEF")+SUMIFS(Donnees!$J$6:$J$1000000,Donnees!$L$6:$L$1000000,"F",Donnees!$K$6:$K$1000000,"10",Donnees!$G$6:$G$1000000,"FEF")</f>
        <v>41000</v>
      </c>
      <c r="M20" s="22">
        <f>-SUMIFS(Donnees!$I$6:$I$1000000,Donnees!$L$6:$L$1000000,"F",Donnees!$K$6:$K$1000000,"11",Donnees!$G$6:$G$1000000,"FEF")+SUMIFS(Donnees!$J$6:$J$1000000,Donnees!$L$6:$L$1000000,"F",Donnees!$K$6:$K$1000000,"11",Donnees!$G$6:$G$1000000,"FEF")</f>
        <v>0</v>
      </c>
      <c r="N20" s="22">
        <f>-SUMIFS(Donnees!$I$6:$I$1000000,Donnees!$L$6:$L$1000000,"F",Donnees!$K$6:$K$1000000,"12",Donnees!$G$6:$G$1000000,"FEF")+SUMIFS(Donnees!$J$6:$J$1000000,Donnees!$L$6:$L$1000000,"F",Donnees!$K$6:$K$1000000,"12",Donnees!$G$6:$G$1000000,"FEF")</f>
        <v>40000</v>
      </c>
      <c r="O20" s="23">
        <f t="shared" si="2"/>
        <v>281000</v>
      </c>
    </row>
    <row r="21" spans="2:15" ht="15" customHeight="1" x14ac:dyDescent="0.25">
      <c r="B21" s="43" t="s">
        <v>22</v>
      </c>
      <c r="C21" s="21">
        <f>-SUMIFS(Donnees!$I$6:$I$1000000,Donnees!$L$6:$L$1000000,"F",Donnees!$K$6:$K$1000000,"01",Donnees!$G$6:$G$1000000,"AFPF")+SUMIFS(Donnees!$J$6:$J$1000000,Donnees!$L$6:$L$1000000,"F",Donnees!$K$6:$K$1000000,"01",Donnees!$G$6:$G$1000000,"AFPF")</f>
        <v>0</v>
      </c>
      <c r="D21" s="22">
        <f>-SUMIFS(Donnees!$I$6:$I$1000000,Donnees!$L$6:$L$1000000,"F",Donnees!$K$6:$K$1000000,"02",Donnees!$G$6:$G$1000000,"AFPF")+SUMIFS(Donnees!$J$6:$J$1000000,Donnees!$L$6:$L$1000000,"F",Donnees!$K$6:$K$1000000,"02",Donnees!$G$6:$G$1000000,"AFPF")</f>
        <v>0</v>
      </c>
      <c r="E21" s="22">
        <f>-SUMIFS(Donnees!$I$6:$I$1000000,Donnees!$L$6:$L$1000000,"F",Donnees!$K$6:$K$1000000,"03",Donnees!$G$6:$G$1000000,"AFPF")+SUMIFS(Donnees!$J$6:$J$1000000,Donnees!$L$6:$L$1000000,"F",Donnees!$K$6:$K$1000000,"03",Donnees!$G$6:$G$1000000,"AFPF")</f>
        <v>0</v>
      </c>
      <c r="F21" s="22">
        <f>-SUMIFS(Donnees!$I$6:$I$1000000,Donnees!$L$6:$L$1000000,"F",Donnees!$K$6:$K$1000000,"04",Donnees!$G$6:$G$1000000,"AFPF")+SUMIFS(Donnees!$J$6:$J$1000000,Donnees!$L$6:$L$1000000,"F",Donnees!$K$6:$K$1000000,"04",Donnees!$G$6:$G$1000000,"AFPF")</f>
        <v>0</v>
      </c>
      <c r="G21" s="22">
        <f>-SUMIFS(Donnees!$I$6:$I$1000000,Donnees!$L$6:$L$1000000,"F",Donnees!$K$6:$K$1000000,"05",Donnees!$G$6:$G$1000000,"AFPF")+SUMIFS(Donnees!$J$6:$J$1000000,Donnees!$L$6:$L$1000000,"F",Donnees!$K$6:$K$1000000,"05",Donnees!$G$6:$G$1000000,"AFPF")</f>
        <v>0</v>
      </c>
      <c r="H21" s="22">
        <f>-SUMIFS(Donnees!$I$6:$I$1000000,Donnees!$L$6:$L$1000000,"F",Donnees!$K$6:$K$1000000,"06",Donnees!$G$6:$G$1000000,"AFPF")+SUMIFS(Donnees!$J$6:$J$1000000,Donnees!$L$6:$L$1000000,"F",Donnees!$K$6:$K$1000000,"06",Donnees!$G$6:$G$1000000,"AFPF")</f>
        <v>0</v>
      </c>
      <c r="I21" s="22">
        <f>-SUMIFS(Donnees!$I$6:$I$1000000,Donnees!$L$6:$L$1000000,"F",Donnees!$K$6:$K$1000000,"07",Donnees!$G$6:$G$1000000,"AFPF")+SUMIFS(Donnees!$J$6:$J$1000000,Donnees!$L$6:$L$1000000,"F",Donnees!$K$6:$K$1000000,"07",Donnees!$G$6:$G$1000000,"AFPF")</f>
        <v>0</v>
      </c>
      <c r="J21" s="22">
        <f>-SUMIFS(Donnees!$I$6:$I$1000000,Donnees!$L$6:$L$1000000,"F",Donnees!$K$6:$K$1000000,"08",Donnees!$G$6:$G$1000000,"AFPF")+SUMIFS(Donnees!$J$6:$J$1000000,Donnees!$L$6:$L$1000000,"F",Donnees!$K$6:$K$1000000,"08",Donnees!$G$6:$G$1000000,"AFPF")</f>
        <v>2800000</v>
      </c>
      <c r="K21" s="22">
        <f>-SUMIFS(Donnees!$I$6:$I$1000000,Donnees!$L$6:$L$1000000,"F",Donnees!$K$6:$K$1000000,"09",Donnees!$G$6:$G$1000000,"AFPF")+SUMIFS(Donnees!$J$6:$J$1000000,Donnees!$L$6:$L$1000000,"F",Donnees!$K$6:$K$1000000,"09",Donnees!$G$6:$G$1000000,"AFPF")</f>
        <v>0</v>
      </c>
      <c r="L21" s="22">
        <f>-SUMIFS(Donnees!$I$6:$I$1000000,Donnees!$L$6:$L$1000000,"F",Donnees!$K$6:$K$1000000,"10",Donnees!$G$6:$G$1000000,"AFPF")+SUMIFS(Donnees!$J$6:$J$1000000,Donnees!$L$6:$L$1000000,"F",Donnees!$K$6:$K$1000000,"10",Donnees!$G$6:$G$1000000,"AFPF")</f>
        <v>0</v>
      </c>
      <c r="M21" s="22">
        <f>-SUMIFS(Donnees!$I$6:$I$1000000,Donnees!$L$6:$L$1000000,"F",Donnees!$K$6:$K$1000000,"11",Donnees!$G$6:$G$1000000,"AFPF")+SUMIFS(Donnees!$J$6:$J$1000000,Donnees!$L$6:$L$1000000,"F",Donnees!$K$6:$K$1000000,"11",Donnees!$G$6:$G$1000000,"AFPF")</f>
        <v>100000</v>
      </c>
      <c r="N21" s="22">
        <f>-SUMIFS(Donnees!$I$6:$I$1000000,Donnees!$L$6:$L$1000000,"F",Donnees!$K$6:$K$1000000,"12",Donnees!$G$6:$G$1000000,"AFPF")+SUMIFS(Donnees!$J$6:$J$1000000,Donnees!$L$6:$L$1000000,"F",Donnees!$K$6:$K$1000000,"12",Donnees!$G$6:$G$1000000,"AFPF")</f>
        <v>0</v>
      </c>
      <c r="O21" s="23">
        <f t="shared" si="2"/>
        <v>2900000</v>
      </c>
    </row>
    <row r="22" spans="2:15" ht="15" customHeight="1" thickBot="1" x14ac:dyDescent="0.3">
      <c r="B22" s="43" t="s">
        <v>35</v>
      </c>
      <c r="C22" s="21">
        <f>-SUMIFS(Donnees!$I$6:$I$1000000,Donnees!$L$6:$L$1000000,"F",Donnees!$K$6:$K$1000000,"01",Donnees!$G$6:$G$1000000,"ARF")+SUMIFS(Donnees!$J$6:$J$1000000,Donnees!$L$6:$L$1000000,"F",Donnees!$K$6:$K$1000000,"01",Donnees!$G$6:$G$1000000,"ARF")</f>
        <v>0</v>
      </c>
      <c r="D22" s="22">
        <f>-SUMIFS(Donnees!$I$6:$I$1000000,Donnees!$L$6:$L$1000000,"F",Donnees!$K$6:$K$1000000,"02",Donnees!$G$6:$G$1000000,"ARF")+SUMIFS(Donnees!$J$6:$J$1000000,Donnees!$L$6:$L$1000000,"F",Donnees!$K$6:$K$1000000,"02",Donnees!$G$6:$G$1000000,"ARF")</f>
        <v>0</v>
      </c>
      <c r="E22" s="22">
        <f>-SUMIFS(Donnees!$I$6:$I$1000000,Donnees!$L$6:$L$1000000,"F",Donnees!$K$6:$K$1000000,"03",Donnees!$G$6:$G$1000000,"ARF")+SUMIFS(Donnees!$J$6:$J$1000000,Donnees!$L$6:$L$1000000,"F",Donnees!$K$6:$K$1000000,"03",Donnees!$G$6:$G$1000000,"ARF")</f>
        <v>0</v>
      </c>
      <c r="F22" s="22">
        <f>-SUMIFS(Donnees!$I$6:$I$1000000,Donnees!$L$6:$L$1000000,"F",Donnees!$K$6:$K$1000000,"04",Donnees!$G$6:$G$1000000,"ARF")+SUMIFS(Donnees!$J$6:$J$1000000,Donnees!$L$6:$L$1000000,"F",Donnees!$K$6:$K$1000000,"04",Donnees!$G$6:$G$1000000,"ARF")</f>
        <v>0</v>
      </c>
      <c r="G22" s="22">
        <f>-SUMIFS(Donnees!$I$6:$I$1000000,Donnees!$L$6:$L$1000000,"F",Donnees!$K$6:$K$1000000,"05",Donnees!$G$6:$G$1000000,"ARF")+SUMIFS(Donnees!$J$6:$J$1000000,Donnees!$L$6:$L$1000000,"F",Donnees!$K$6:$K$1000000,"05",Donnees!$G$6:$G$1000000,"ARF")</f>
        <v>0</v>
      </c>
      <c r="H22" s="22">
        <f>-SUMIFS(Donnees!$I$6:$I$1000000,Donnees!$L$6:$L$1000000,"F",Donnees!$K$6:$K$1000000,"06",Donnees!$G$6:$G$1000000,"ARF")+SUMIFS(Donnees!$J$6:$J$1000000,Donnees!$L$6:$L$1000000,"F",Donnees!$K$6:$K$1000000,"06",Donnees!$G$6:$G$1000000,"ARF")</f>
        <v>0</v>
      </c>
      <c r="I22" s="22">
        <f>-SUMIFS(Donnees!$I$6:$I$1000000,Donnees!$L$6:$L$1000000,"F",Donnees!$K$6:$K$1000000,"07",Donnees!$G$6:$G$1000000,"ARF")+SUMIFS(Donnees!$J$6:$J$1000000,Donnees!$L$6:$L$1000000,"F",Donnees!$K$6:$K$1000000,"07",Donnees!$G$6:$G$1000000,"ARF")</f>
        <v>0</v>
      </c>
      <c r="J22" s="22">
        <f>-SUMIFS(Donnees!$I$6:$I$1000000,Donnees!$L$6:$L$1000000,"F",Donnees!$K$6:$K$1000000,"08",Donnees!$G$6:$G$1000000,"ARF")+SUMIFS(Donnees!$J$6:$J$1000000,Donnees!$L$6:$L$1000000,"F",Donnees!$K$6:$K$1000000,"08",Donnees!$G$6:$G$1000000,"ARF")</f>
        <v>1780000</v>
      </c>
      <c r="K22" s="22">
        <f>-SUMIFS(Donnees!$I$6:$I$1000000,Donnees!$L$6:$L$1000000,"F",Donnees!$K$6:$K$1000000,"09",Donnees!$G$6:$G$1000000,"ARF")+SUMIFS(Donnees!$J$6:$J$1000000,Donnees!$L$6:$L$1000000,"F",Donnees!$K$6:$K$1000000,"09",Donnees!$G$6:$G$1000000,"ARF")</f>
        <v>0</v>
      </c>
      <c r="L22" s="22">
        <f>-SUMIFS(Donnees!$I$6:$I$1000000,Donnees!$L$6:$L$1000000,"F",Donnees!$K$6:$K$1000000,"10",Donnees!$G$6:$G$1000000,"ARF")+SUMIFS(Donnees!$J$6:$J$1000000,Donnees!$L$6:$L$1000000,"F",Donnees!$K$6:$K$1000000,"10",Donnees!$G$6:$G$1000000,"ARF")</f>
        <v>0</v>
      </c>
      <c r="M22" s="22">
        <f>-SUMIFS(Donnees!$I$6:$I$1000000,Donnees!$L$6:$L$1000000,"F",Donnees!$K$6:$K$1000000,"11",Donnees!$G$6:$G$1000000,"ARF")+SUMIFS(Donnees!$J$6:$J$1000000,Donnees!$L$6:$L$1000000,"F",Donnees!$K$6:$K$1000000,"11",Donnees!$G$6:$G$1000000,"ARF")</f>
        <v>22000</v>
      </c>
      <c r="N22" s="22">
        <f>-SUMIFS(Donnees!$I$6:$I$1000000,Donnees!$L$6:$L$1000000,"F",Donnees!$K$6:$K$1000000,"12",Donnees!$G$6:$G$1000000,"ARF")+SUMIFS(Donnees!$J$6:$J$1000000,Donnees!$L$6:$L$1000000,"F",Donnees!$K$6:$K$1000000,"12",Donnees!$G$6:$G$1000000,"ARF")</f>
        <v>0</v>
      </c>
      <c r="O22" s="23">
        <f t="shared" si="2"/>
        <v>1802000</v>
      </c>
    </row>
    <row r="23" spans="2:15" ht="15" customHeight="1" thickBot="1" x14ac:dyDescent="0.3">
      <c r="B23" s="17" t="s">
        <v>23</v>
      </c>
      <c r="C23" s="18">
        <f t="shared" ref="C23:O23" si="5">C24+C25+C26+C27+C31</f>
        <v>0</v>
      </c>
      <c r="D23" s="18">
        <f t="shared" si="5"/>
        <v>0</v>
      </c>
      <c r="E23" s="18">
        <f t="shared" si="5"/>
        <v>5000</v>
      </c>
      <c r="F23" s="18">
        <f t="shared" si="5"/>
        <v>100000</v>
      </c>
      <c r="G23" s="18">
        <f t="shared" si="5"/>
        <v>344630</v>
      </c>
      <c r="H23" s="18">
        <f t="shared" si="5"/>
        <v>3000</v>
      </c>
      <c r="I23" s="18">
        <f t="shared" si="5"/>
        <v>0</v>
      </c>
      <c r="J23" s="18">
        <f t="shared" si="5"/>
        <v>103000</v>
      </c>
      <c r="K23" s="18">
        <f t="shared" si="5"/>
        <v>34000</v>
      </c>
      <c r="L23" s="18">
        <f t="shared" si="5"/>
        <v>18000</v>
      </c>
      <c r="M23" s="18">
        <f t="shared" si="5"/>
        <v>0</v>
      </c>
      <c r="N23" s="18">
        <f t="shared" si="5"/>
        <v>12000</v>
      </c>
      <c r="O23" s="20">
        <f t="shared" si="5"/>
        <v>619630</v>
      </c>
    </row>
    <row r="24" spans="2:15" x14ac:dyDescent="0.25">
      <c r="B24" s="43" t="s">
        <v>65</v>
      </c>
      <c r="C24" s="49">
        <f>-SUMIFS(Donnees!$I$6:$I$1000000,Donnees!$K$6:$K$1000000,"01",Donnees!$F$6:$F$1000000,"EMN")+SUMIFS(Donnees!$J$6:$J$1000000,Donnees!$K$6:$K$1000000,"01",Donnees!$F$6:$F$1000000,"EMN")</f>
        <v>0</v>
      </c>
      <c r="D24" s="50">
        <f>-SUMIFS(Donnees!$I$6:$I$1000000,Donnees!$K$6:$K$1000000,"02",Donnees!$F$6:$F$1000000,"EMN")+SUMIFS(Donnees!$J$6:$J$1000000,Donnees!$K$6:$K$1000000,"02",Donnees!$F$6:$F$1000000,"EMN")</f>
        <v>0</v>
      </c>
      <c r="E24" s="50">
        <f>-SUMIFS(Donnees!$I$6:$I$1000000,Donnees!$K$6:$K$1000000,"03",Donnees!$F$6:$F$1000000,"EMN")+SUMIFS(Donnees!$J$6:$J$1000000,Donnees!$K$6:$K$1000000,"03",Donnees!$F$6:$F$1000000,"EMN")</f>
        <v>0</v>
      </c>
      <c r="F24" s="50">
        <f>-SUMIFS(Donnees!$I$6:$I$1000000,Donnees!$K$6:$K$1000000,"04",Donnees!$F$6:$F$1000000,"EMN")+SUMIFS(Donnees!$J$6:$J$1000000,Donnees!$K$6:$K$1000000,"04",Donnees!$F$6:$F$1000000,"EMN")</f>
        <v>100000</v>
      </c>
      <c r="G24" s="50">
        <f>-SUMIFS(Donnees!$I$6:$I$1000000,Donnees!$K$6:$K$1000000,"05",Donnees!$F$6:$F$1000000,"EMN")+SUMIFS(Donnees!$J$6:$J$1000000,Donnees!$K$6:$K$1000000,"05",Donnees!$F$6:$F$1000000,"EMN")</f>
        <v>168000</v>
      </c>
      <c r="H24" s="50">
        <f>-SUMIFS(Donnees!$I$6:$I$1000000,Donnees!$K$6:$K$1000000,"06",Donnees!$F$6:$F$1000000,"EMN")+SUMIFS(Donnees!$J$6:$J$1000000,Donnees!$K$6:$K$1000000,"06",Donnees!$F$6:$F$1000000,"EMN")</f>
        <v>0</v>
      </c>
      <c r="I24" s="50">
        <f>-SUMIFS(Donnees!$I$6:$I$1000000,Donnees!$K$6:$K$1000000,"07",Donnees!$F$6:$F$1000000,"EMN")+SUMIFS(Donnees!$J$6:$J$1000000,Donnees!$K$6:$K$1000000,"07",Donnees!$F$6:$F$1000000,"EMN")</f>
        <v>0</v>
      </c>
      <c r="J24" s="50">
        <f>-SUMIFS(Donnees!$I$6:$I$1000000,Donnees!$K$6:$K$1000000,"08",Donnees!$F$6:$F$1000000,"EMN")+SUMIFS(Donnees!$J$6:$J$1000000,Donnees!$K$6:$K$1000000,"08",Donnees!$F$6:$F$1000000,"EMN")</f>
        <v>0</v>
      </c>
      <c r="K24" s="50">
        <f>-SUMIFS(Donnees!$I$6:$I$1000000,Donnees!$K$6:$K$1000000,"09",Donnees!$F$6:$F$1000000,"EMN")+SUMIFS(Donnees!$J$6:$J$1000000,Donnees!$K$6:$K$1000000,"09",Donnees!$F$6:$F$1000000,"EMN")</f>
        <v>0</v>
      </c>
      <c r="L24" s="50">
        <f>-SUMIFS(Donnees!$I$6:$I$1000000,Donnees!$K$6:$K$1000000,"10",Donnees!$F$6:$F$1000000,"EMN")+SUMIFS(Donnees!$J$6:$J$1000000,Donnees!$K$6:$K$1000000,"10",Donnees!$F$6:$F$1000000,"EMN")</f>
        <v>0</v>
      </c>
      <c r="M24" s="50">
        <f>-SUMIFS(Donnees!$I$6:$I$1000000,Donnees!$K$6:$K$1000000,"11",Donnees!$F$6:$F$1000000,"EMN")+SUMIFS(Donnees!$J$6:$J$1000000,Donnees!$K$6:$K$1000000,"11",Donnees!$F$6:$F$1000000,"EMN")</f>
        <v>0</v>
      </c>
      <c r="N24" s="50">
        <f>-SUMIFS(Donnees!$I$6:$I$1000000,Donnees!$K$6:$K$1000000,"12",Donnees!$F$6:$F$1000000,"EMN")+SUMIFS(Donnees!$J$6:$J$1000000,Donnees!$K$6:$K$1000000,"12",Donnees!$F$6:$F$1000000,"EMN")</f>
        <v>0</v>
      </c>
      <c r="O24" s="51">
        <f t="shared" si="2"/>
        <v>268000</v>
      </c>
    </row>
    <row r="25" spans="2:15" x14ac:dyDescent="0.25">
      <c r="B25" s="43" t="s">
        <v>66</v>
      </c>
      <c r="C25" s="49">
        <f>-SUMIFS(Donnees!$I$6:$I$1000000,Donnees!$K$6:$K$1000000,"01",Donnees!$F$6:$F$1000000,"PRN")+SUMIFS(Donnees!$J$6:$J$1000000,Donnees!$K$6:$K$1000000,"01",Donnees!$F$6:$F$1000000,"PRN")</f>
        <v>0</v>
      </c>
      <c r="D25" s="50">
        <f>-SUMIFS(Donnees!$I$6:$I$1000000,Donnees!$K$6:$K$1000000,"02",Donnees!$F$6:$F$1000000,"PRN")+SUMIFS(Donnees!$J$6:$J$1000000,Donnees!$K$6:$K$1000000,"02",Donnees!$F$6:$F$1000000,"PRN")</f>
        <v>0</v>
      </c>
      <c r="E25" s="50">
        <f>-SUMIFS(Donnees!$I$6:$I$1000000,Donnees!$K$6:$K$1000000,"03",Donnees!$F$6:$F$1000000,"PRN")+SUMIFS(Donnees!$J$6:$J$1000000,Donnees!$K$6:$K$1000000,"03",Donnees!$F$6:$F$1000000,"PRN")</f>
        <v>0</v>
      </c>
      <c r="F25" s="50">
        <f>-SUMIFS(Donnees!$I$6:$I$1000000,Donnees!$K$6:$K$1000000,"04",Donnees!$F$6:$F$1000000,"PRN")+SUMIFS(Donnees!$J$6:$J$1000000,Donnees!$K$6:$K$1000000,"04",Donnees!$F$6:$F$1000000,"PRN")</f>
        <v>0</v>
      </c>
      <c r="G25" s="50">
        <f>-SUMIFS(Donnees!$I$6:$I$1000000,Donnees!$K$6:$K$1000000,"05",Donnees!$F$6:$F$1000000,"PRN")+SUMIFS(Donnees!$J$6:$J$1000000,Donnees!$K$6:$K$1000000,"05",Donnees!$F$6:$F$1000000,"PRN")</f>
        <v>168000</v>
      </c>
      <c r="H25" s="50">
        <f>-SUMIFS(Donnees!$I$6:$I$1000000,Donnees!$K$6:$K$1000000,"06",Donnees!$F$6:$F$1000000,"PRN")+SUMIFS(Donnees!$J$6:$J$1000000,Donnees!$K$6:$K$1000000,"06",Donnees!$F$6:$F$1000000,"PRN")</f>
        <v>0</v>
      </c>
      <c r="I25" s="50">
        <f>-SUMIFS(Donnees!$I$6:$I$1000000,Donnees!$K$6:$K$1000000,"07",Donnees!$F$6:$F$1000000,"PRN")+SUMIFS(Donnees!$J$6:$J$1000000,Donnees!$K$6:$K$1000000,"07",Donnees!$F$6:$F$1000000,"PRN")</f>
        <v>0</v>
      </c>
      <c r="J25" s="50">
        <f>-SUMIFS(Donnees!$I$6:$I$1000000,Donnees!$K$6:$K$1000000,"08",Donnees!$F$6:$F$1000000,"PRN")+SUMIFS(Donnees!$J$6:$J$1000000,Donnees!$K$6:$K$1000000,"08",Donnees!$F$6:$F$1000000,"PRN")</f>
        <v>0</v>
      </c>
      <c r="K25" s="50">
        <f>-SUMIFS(Donnees!$I$6:$I$1000000,Donnees!$K$6:$K$1000000,"09",Donnees!$F$6:$F$1000000,"PRN")+SUMIFS(Donnees!$J$6:$J$1000000,Donnees!$K$6:$K$1000000,"09",Donnees!$F$6:$F$1000000,"PRN")</f>
        <v>0</v>
      </c>
      <c r="L25" s="50">
        <f>-SUMIFS(Donnees!$I$6:$I$1000000,Donnees!$K$6:$K$1000000,"10",Donnees!$F$6:$F$1000000,"PRN")+SUMIFS(Donnees!$J$6:$J$1000000,Donnees!$K$6:$K$1000000,"10",Donnees!$F$6:$F$1000000,"PRN")</f>
        <v>0</v>
      </c>
      <c r="M25" s="50">
        <f>-SUMIFS(Donnees!$I$6:$I$1000000,Donnees!$K$6:$K$1000000,"11",Donnees!$F$6:$F$1000000,"PRN")+SUMIFS(Donnees!$J$6:$J$1000000,Donnees!$K$6:$K$1000000,"11",Donnees!$F$6:$F$1000000,"PRN")</f>
        <v>0</v>
      </c>
      <c r="N25" s="50">
        <f>-SUMIFS(Donnees!$I$6:$I$1000000,Donnees!$K$6:$K$1000000,"12",Donnees!$F$6:$F$1000000,"PRN")+SUMIFS(Donnees!$J$6:$J$1000000,Donnees!$K$6:$K$1000000,"12",Donnees!$F$6:$F$1000000,"PRN")</f>
        <v>0</v>
      </c>
      <c r="O25" s="51">
        <f t="shared" si="2"/>
        <v>168000</v>
      </c>
    </row>
    <row r="26" spans="2:15" ht="15.75" thickBot="1" x14ac:dyDescent="0.3">
      <c r="B26" s="43" t="s">
        <v>68</v>
      </c>
      <c r="C26" s="49">
        <f>-SUMIFS(Donnees!$I$6:$I$1000000,Donnees!$K$6:$K$1000000,"01",Donnees!$F$6:$F$1000000,"DEN")+SUMIFS(Donnees!$J$6:$J$1000000,Donnees!$K$6:$K$1000000,"01",Donnees!$F$6:$F$1000000,"DEN")</f>
        <v>0</v>
      </c>
      <c r="D26" s="50">
        <f>-SUMIFS(Donnees!$I$6:$I$1000000,Donnees!$K$6:$K$1000000,"02",Donnees!$F$6:$F$1000000,"DEN")+SUMIFS(Donnees!$J$6:$J$1000000,Donnees!$K$6:$K$1000000,"02",Donnees!$F$6:$F$1000000,"DEN")</f>
        <v>0</v>
      </c>
      <c r="E26" s="50">
        <f>-SUMIFS(Donnees!$I$6:$I$1000000,Donnees!$K$6:$K$1000000,"03",Donnees!$F$6:$F$1000000,"DEN")+SUMIFS(Donnees!$J$6:$J$1000000,Donnees!$K$6:$K$1000000,"03",Donnees!$F$6:$F$1000000,"DEN")</f>
        <v>0</v>
      </c>
      <c r="F26" s="50">
        <f>-SUMIFS(Donnees!$I$6:$I$1000000,Donnees!$K$6:$K$1000000,"04",Donnees!$F$6:$F$1000000,"DEN")+SUMIFS(Donnees!$J$6:$J$1000000,Donnees!$K$6:$K$1000000,"04",Donnees!$F$6:$F$1000000,"DEN")</f>
        <v>0</v>
      </c>
      <c r="G26" s="50">
        <f>-SUMIFS(Donnees!$I$6:$I$1000000,Donnees!$K$6:$K$1000000,"05",Donnees!$F$6:$F$1000000,"DEN")+SUMIFS(Donnees!$J$6:$J$1000000,Donnees!$K$6:$K$1000000,"05",Donnees!$F$6:$F$1000000,"DEN")</f>
        <v>8630</v>
      </c>
      <c r="H26" s="50">
        <f>-SUMIFS(Donnees!$I$6:$I$1000000,Donnees!$K$6:$K$1000000,"06",Donnees!$F$6:$F$1000000,"DEN")+SUMIFS(Donnees!$J$6:$J$1000000,Donnees!$K$6:$K$1000000,"06",Donnees!$F$6:$F$1000000,"DEN")</f>
        <v>0</v>
      </c>
      <c r="I26" s="50">
        <f>-SUMIFS(Donnees!$I$6:$I$1000000,Donnees!$K$6:$K$1000000,"07",Donnees!$F$6:$F$1000000,"DEN")+SUMIFS(Donnees!$J$6:$J$1000000,Donnees!$K$6:$K$1000000,"07",Donnees!$F$6:$F$1000000,"DEN")</f>
        <v>0</v>
      </c>
      <c r="J26" s="50">
        <f>-SUMIFS(Donnees!$I$6:$I$1000000,Donnees!$K$6:$K$1000000,"08",Donnees!$F$6:$F$1000000,"DEN")+SUMIFS(Donnees!$J$6:$J$1000000,Donnees!$K$6:$K$1000000,"08",Donnees!$F$6:$F$1000000,"DEN")</f>
        <v>96000</v>
      </c>
      <c r="K26" s="50">
        <f>-SUMIFS(Donnees!$I$6:$I$1000000,Donnees!$K$6:$K$1000000,"09",Donnees!$F$6:$F$1000000,"DEN")+SUMIFS(Donnees!$J$6:$J$1000000,Donnees!$K$6:$K$1000000,"09",Donnees!$F$6:$F$1000000,"DEN")</f>
        <v>0</v>
      </c>
      <c r="L26" s="50">
        <f>-SUMIFS(Donnees!$I$6:$I$1000000,Donnees!$K$6:$K$1000000,"10",Donnees!$F$6:$F$1000000,"DEN")+SUMIFS(Donnees!$J$6:$J$1000000,Donnees!$K$6:$K$1000000,"10",Donnees!$F$6:$F$1000000,"DEN")</f>
        <v>0</v>
      </c>
      <c r="M26" s="50">
        <f>-SUMIFS(Donnees!$I$6:$I$1000000,Donnees!$K$6:$K$1000000,"11",Donnees!$F$6:$F$1000000,"DEN")+SUMIFS(Donnees!$J$6:$J$1000000,Donnees!$K$6:$K$1000000,"11",Donnees!$F$6:$F$1000000,"DEN")</f>
        <v>0</v>
      </c>
      <c r="N26" s="50">
        <f>-SUMIFS(Donnees!$I$6:$I$1000000,Donnees!$K$6:$K$1000000,"12",Donnees!$F$6:$F$1000000,"DEN")+SUMIFS(Donnees!$J$6:$J$1000000,Donnees!$K$6:$K$1000000,"12",Donnees!$F$6:$F$1000000,"DEN")</f>
        <v>0</v>
      </c>
      <c r="O26" s="51">
        <f t="shared" si="2"/>
        <v>104630</v>
      </c>
    </row>
    <row r="27" spans="2:15" ht="15" customHeight="1" thickBot="1" x14ac:dyDescent="0.3">
      <c r="B27" s="52" t="s">
        <v>74</v>
      </c>
      <c r="C27" s="18">
        <f>SUM(C28:C30)</f>
        <v>0</v>
      </c>
      <c r="D27" s="19">
        <f t="shared" ref="D27:O27" si="6">SUM(D28:D30)</f>
        <v>0</v>
      </c>
      <c r="E27" s="19">
        <f t="shared" si="6"/>
        <v>5000</v>
      </c>
      <c r="F27" s="19">
        <f t="shared" si="6"/>
        <v>0</v>
      </c>
      <c r="G27" s="19">
        <f t="shared" si="6"/>
        <v>0</v>
      </c>
      <c r="H27" s="19">
        <f t="shared" si="6"/>
        <v>0</v>
      </c>
      <c r="I27" s="19">
        <f t="shared" si="6"/>
        <v>0</v>
      </c>
      <c r="J27" s="19">
        <f t="shared" si="6"/>
        <v>7000</v>
      </c>
      <c r="K27" s="19">
        <f t="shared" si="6"/>
        <v>20000</v>
      </c>
      <c r="L27" s="19">
        <f t="shared" si="6"/>
        <v>18000</v>
      </c>
      <c r="M27" s="19">
        <f t="shared" si="6"/>
        <v>0</v>
      </c>
      <c r="N27" s="19">
        <f t="shared" si="6"/>
        <v>0</v>
      </c>
      <c r="O27" s="20">
        <f t="shared" si="6"/>
        <v>50000</v>
      </c>
    </row>
    <row r="28" spans="2:15" ht="15" customHeight="1" x14ac:dyDescent="0.25">
      <c r="B28" s="45" t="s">
        <v>75</v>
      </c>
      <c r="C28" s="21">
        <f>-SUMIFS(Donnees!$I$6:$I$1000000,Donnees!$K$6:$K$1000000,"01",Donnees!$F$6:$F$1000000,"FISKE")+SUMIFS(Donnees!$J$6:$J$1000000,Donnees!$K$6:$K$1000000,"01",Donnees!$F$6:$F$1000000,"FISKE")
-SUMIFS(Donnees!$I$6:$I$1000000,Donnees!$K$6:$K$1000000,"01",Donnees!$F$6:$F$1000000,"TVAE")+SUMIFS(Donnees!$J$6:$J$1000000,Donnees!$K$6:$K$1000000,"01",Donnees!$F$6:$F$1000000,"TVAE")</f>
        <v>0</v>
      </c>
      <c r="D28" s="22">
        <f>-SUMIFS(Donnees!$I$6:$I$1000000,Donnees!$K$6:$K$1000000,"02",Donnees!$F$6:$F$1000000,"FISKE")+SUMIFS(Donnees!$J$6:$J$1000000,Donnees!$K$6:$K$1000000,"02",Donnees!$F$6:$F$1000000,"FISKE")
-SUMIFS(Donnees!$I$6:$I$1000000,Donnees!$K$6:$K$1000000,"02",Donnees!$F$6:$F$1000000,"TVAE")+SUMIFS(Donnees!$J$6:$J$1000000,Donnees!$K$6:$K$1000000,"02",Donnees!$F$6:$F$1000000,"TVAE")</f>
        <v>0</v>
      </c>
      <c r="E28" s="22">
        <f>-SUMIFS(Donnees!$I$6:$I$1000000,Donnees!$K$6:$K$1000000,"03",Donnees!$F$6:$F$1000000,"FISKE")+SUMIFS(Donnees!$J$6:$J$1000000,Donnees!$K$6:$K$1000000,"03",Donnees!$F$6:$F$1000000,"FISKE")
-SUMIFS(Donnees!$I$6:$I$1000000,Donnees!$K$6:$K$1000000,"03",Donnees!$F$6:$F$1000000,"TVAE")+SUMIFS(Donnees!$J$6:$J$1000000,Donnees!$K$6:$K$1000000,"03",Donnees!$F$6:$F$1000000,"TVAE")</f>
        <v>5000</v>
      </c>
      <c r="F28" s="22">
        <f>-SUMIFS(Donnees!$I$6:$I$1000000,Donnees!$K$6:$K$1000000,"04",Donnees!$F$6:$F$1000000,"FISKE")+SUMIFS(Donnees!$J$6:$J$1000000,Donnees!$K$6:$K$1000000,"04",Donnees!$F$6:$F$1000000,"FISKE")
-SUMIFS(Donnees!$I$6:$I$1000000,Donnees!$K$6:$K$1000000,"04",Donnees!$F$6:$F$1000000,"TVAE")+SUMIFS(Donnees!$J$6:$J$1000000,Donnees!$K$6:$K$1000000,"04",Donnees!$F$6:$F$1000000,"TVAE")</f>
        <v>0</v>
      </c>
      <c r="G28" s="22">
        <f>-SUMIFS(Donnees!$I$6:$I$1000000,Donnees!$K$6:$K$1000000,"05",Donnees!$F$6:$F$1000000,"FISKE")+SUMIFS(Donnees!$J$6:$J$1000000,Donnees!$K$6:$K$1000000,"05",Donnees!$F$6:$F$1000000,"FISKE")
-SUMIFS(Donnees!$I$6:$I$1000000,Donnees!$K$6:$K$1000000,"05",Donnees!$F$6:$F$1000000,"TVAE")+SUMIFS(Donnees!$J$6:$J$1000000,Donnees!$K$6:$K$1000000,"05",Donnees!$F$6:$F$1000000,"TVAE")</f>
        <v>0</v>
      </c>
      <c r="H28" s="22">
        <f>-SUMIFS(Donnees!$I$6:$I$1000000,Donnees!$K$6:$K$1000000,"06",Donnees!$F$6:$F$1000000,"FISKE")+SUMIFS(Donnees!$J$6:$J$1000000,Donnees!$K$6:$K$1000000,"06",Donnees!$F$6:$F$1000000,"FISKE")
-SUMIFS(Donnees!$I$6:$I$1000000,Donnees!$K$6:$K$1000000,"06",Donnees!$F$6:$F$1000000,"TVAE")+SUMIFS(Donnees!$J$6:$J$1000000,Donnees!$K$6:$K$1000000,"06",Donnees!$F$6:$F$1000000,"TVAE")</f>
        <v>0</v>
      </c>
      <c r="I28" s="22">
        <f>-SUMIFS(Donnees!$I$6:$I$1000000,Donnees!$K$6:$K$1000000,"07",Donnees!$F$6:$F$1000000,"FISKE")+SUMIFS(Donnees!$J$6:$J$1000000,Donnees!$K$6:$K$1000000,"07",Donnees!$F$6:$F$1000000,"FISKE")
-SUMIFS(Donnees!$I$6:$I$1000000,Donnees!$K$6:$K$1000000,"07",Donnees!$F$6:$F$1000000,"TVAE")+SUMIFS(Donnees!$J$6:$J$1000000,Donnees!$K$6:$K$1000000,"07",Donnees!$F$6:$F$1000000,"TVAE")</f>
        <v>0</v>
      </c>
      <c r="J28" s="22">
        <f>-SUMIFS(Donnees!$I$6:$I$1000000,Donnees!$K$6:$K$1000000,"08",Donnees!$F$6:$F$1000000,"FISKE")+SUMIFS(Donnees!$J$6:$J$1000000,Donnees!$K$6:$K$1000000,"08",Donnees!$F$6:$F$1000000,"FISKE")
-SUMIFS(Donnees!$I$6:$I$1000000,Donnees!$K$6:$K$1000000,"08",Donnees!$F$6:$F$1000000,"TVAE")+SUMIFS(Donnees!$J$6:$J$1000000,Donnees!$K$6:$K$1000000,"08",Donnees!$F$6:$F$1000000,"TVAE")</f>
        <v>7000</v>
      </c>
      <c r="K28" s="22">
        <f>-SUMIFS(Donnees!$I$6:$I$1000000,Donnees!$K$6:$K$1000000,"09",Donnees!$F$6:$F$1000000,"FISKE")+SUMIFS(Donnees!$J$6:$J$1000000,Donnees!$K$6:$K$1000000,"09",Donnees!$F$6:$F$1000000,"FISKE")
-SUMIFS(Donnees!$I$6:$I$1000000,Donnees!$K$6:$K$1000000,"09",Donnees!$F$6:$F$1000000,"TVAE")+SUMIFS(Donnees!$J$6:$J$1000000,Donnees!$K$6:$K$1000000,"09",Donnees!$F$6:$F$1000000,"TVAE")</f>
        <v>0</v>
      </c>
      <c r="L28" s="22">
        <f>-SUMIFS(Donnees!$I$6:$I$1000000,Donnees!$K$6:$K$1000000,"10",Donnees!$F$6:$F$1000000,"FISKE")+SUMIFS(Donnees!$J$6:$J$1000000,Donnees!$K$6:$K$1000000,"10",Donnees!$F$6:$F$1000000,"FISKE")
-SUMIFS(Donnees!$I$6:$I$1000000,Donnees!$K$6:$K$1000000,"10",Donnees!$F$6:$F$1000000,"TVAE")+SUMIFS(Donnees!$J$6:$J$1000000,Donnees!$K$6:$K$1000000,"10",Donnees!$F$6:$F$1000000,"TVAE")</f>
        <v>0</v>
      </c>
      <c r="M28" s="22">
        <f>-SUMIFS(Donnees!$I$6:$I$1000000,Donnees!$K$6:$K$1000000,"11",Donnees!$F$6:$F$1000000,"FISKE")+SUMIFS(Donnees!$J$6:$J$1000000,Donnees!$K$6:$K$1000000,"11",Donnees!$F$6:$F$1000000,"FISKE")
-SUMIFS(Donnees!$I$6:$I$1000000,Donnees!$K$6:$K$1000000,"11",Donnees!$F$6:$F$1000000,"TVAE")+SUMIFS(Donnees!$J$6:$J$1000000,Donnees!$K$6:$K$1000000,"11",Donnees!$F$6:$F$1000000,"TVAE")</f>
        <v>0</v>
      </c>
      <c r="N28" s="22">
        <f>-SUMIFS(Donnees!$I$6:$I$1000000,Donnees!$K$6:$K$1000000,"12",Donnees!$F$6:$F$1000000,"FISKE")+SUMIFS(Donnees!$J$6:$J$1000000,Donnees!$K$6:$K$1000000,"12",Donnees!$F$6:$F$1000000,"FISKE")
-SUMIFS(Donnees!$I$6:$I$1000000,Donnees!$K$6:$K$1000000,"12",Donnees!$F$6:$F$1000000,"TVAE")+SUMIFS(Donnees!$J$6:$J$1000000,Donnees!$K$6:$K$1000000,"12",Donnees!$F$6:$F$1000000,"TVAE")</f>
        <v>0</v>
      </c>
      <c r="O28" s="23">
        <f t="shared" ref="O28" si="7">SUM(C28:N28)</f>
        <v>12000</v>
      </c>
    </row>
    <row r="29" spans="2:15" ht="15" customHeight="1" x14ac:dyDescent="0.25">
      <c r="B29" s="46" t="s">
        <v>76</v>
      </c>
      <c r="C29" s="21">
        <f>-SUMIFS(Donnees!$I$6:$I$1000000,Donnees!$K$6:$K$1000000,"01",Donnees!$F$6:$F$1000000,"OTE")+SUMIFS(Donnees!$J$6:$J$1000000,Donnees!$K$6:$K$1000000,"01",Donnees!$F$6:$F$1000000,"OTE")</f>
        <v>0</v>
      </c>
      <c r="D29" s="22">
        <f>-SUMIFS(Donnees!$I$6:$I$1000000,Donnees!$K$6:$K$1000000,"02",Donnees!$F$6:$F$1000000,"OTE")+SUMIFS(Donnees!$J$6:$J$1000000,Donnees!$K$6:$K$1000000,"02",Donnees!$F$6:$F$1000000,"OTE")</f>
        <v>0</v>
      </c>
      <c r="E29" s="22">
        <f>-SUMIFS(Donnees!$I$6:$I$1000000,Donnees!$K$6:$K$1000000,"03",Donnees!$F$6:$F$1000000,"OTE")+SUMIFS(Donnees!$J$6:$J$1000000,Donnees!$K$6:$K$1000000,"03",Donnees!$F$6:$F$1000000,"OTE")</f>
        <v>0</v>
      </c>
      <c r="F29" s="22">
        <f>-SUMIFS(Donnees!$I$6:$I$1000000,Donnees!$K$6:$K$1000000,"04",Donnees!$F$6:$F$1000000,"OTE")+SUMIFS(Donnees!$J$6:$J$1000000,Donnees!$K$6:$K$1000000,"04",Donnees!$F$6:$F$1000000,"OTE")</f>
        <v>0</v>
      </c>
      <c r="G29" s="22">
        <f>-SUMIFS(Donnees!$I$6:$I$1000000,Donnees!$K$6:$K$1000000,"05",Donnees!$F$6:$F$1000000,"OTE")+SUMIFS(Donnees!$J$6:$J$1000000,Donnees!$K$6:$K$1000000,"05",Donnees!$F$6:$F$1000000,"OTE")</f>
        <v>0</v>
      </c>
      <c r="H29" s="22">
        <f>-SUMIFS(Donnees!$I$6:$I$1000000,Donnees!$K$6:$K$1000000,"06",Donnees!$F$6:$F$1000000,"OTE")+SUMIFS(Donnees!$J$6:$J$1000000,Donnees!$K$6:$K$1000000,"06",Donnees!$F$6:$F$1000000,"OTE")</f>
        <v>0</v>
      </c>
      <c r="I29" s="22">
        <f>-SUMIFS(Donnees!$I$6:$I$1000000,Donnees!$K$6:$K$1000000,"07",Donnees!$F$6:$F$1000000,"OTE")+SUMIFS(Donnees!$J$6:$J$1000000,Donnees!$K$6:$K$1000000,"07",Donnees!$F$6:$F$1000000,"OTE")</f>
        <v>0</v>
      </c>
      <c r="J29" s="22">
        <f>-SUMIFS(Donnees!$I$6:$I$1000000,Donnees!$K$6:$K$1000000,"08",Donnees!$F$6:$F$1000000,"OTE")+SUMIFS(Donnees!$J$6:$J$1000000,Donnees!$K$6:$K$1000000,"08",Donnees!$F$6:$F$1000000,"OTE")</f>
        <v>0</v>
      </c>
      <c r="K29" s="22">
        <f>-SUMIFS(Donnees!$I$6:$I$1000000,Donnees!$K$6:$K$1000000,"09",Donnees!$F$6:$F$1000000,"OTE")+SUMIFS(Donnees!$J$6:$J$1000000,Donnees!$K$6:$K$1000000,"09",Donnees!$F$6:$F$1000000,"OTE")</f>
        <v>20000</v>
      </c>
      <c r="L29" s="22">
        <f>-SUMIFS(Donnees!$I$6:$I$1000000,Donnees!$K$6:$K$1000000,"10",Donnees!$F$6:$F$1000000,"OTE")+SUMIFS(Donnees!$J$6:$J$1000000,Donnees!$K$6:$K$1000000,"10",Donnees!$F$6:$F$1000000,"OTE")</f>
        <v>18000</v>
      </c>
      <c r="M29" s="22">
        <f>-SUMIFS(Donnees!$I$6:$I$1000000,Donnees!$K$6:$K$1000000,"11",Donnees!$F$6:$F$1000000,"OTE")+SUMIFS(Donnees!$J$6:$J$1000000,Donnees!$K$6:$K$1000000,"11",Donnees!$F$6:$F$1000000,"OTE")</f>
        <v>0</v>
      </c>
      <c r="N29" s="22">
        <f>-SUMIFS(Donnees!$I$6:$I$1000000,Donnees!$K$6:$K$1000000,"12",Donnees!$F$6:$F$1000000,"OTE")+SUMIFS(Donnees!$J$6:$J$1000000,Donnees!$K$6:$K$1000000,"12",Donnees!$F$6:$F$1000000,"OTE")</f>
        <v>0</v>
      </c>
      <c r="O29" s="23">
        <f t="shared" si="2"/>
        <v>38000</v>
      </c>
    </row>
    <row r="30" spans="2:15" ht="15" customHeight="1" thickBot="1" x14ac:dyDescent="0.3">
      <c r="B30" s="46" t="s">
        <v>78</v>
      </c>
      <c r="C30" s="21">
        <f>-SUMIFS(Donnees!$I$6:$I$1000000,Donnees!$K$6:$K$1000000,"01",Donnees!$F$6:$F$1000000,"ATE")+SUMIFS(Donnees!$J$6:$J$1000000,Donnees!$K$6:$K$1000000,"01",Donnees!$F$6:$F$1000000,"ATE")</f>
        <v>0</v>
      </c>
      <c r="D30" s="21">
        <f>-SUMIFS(Donnees!$I$6:$I$1000000,Donnees!$K$6:$K$1000000,"02",Donnees!$F$6:$F$1000000,"ATE")+SUMIFS(Donnees!$J$6:$J$1000000,Donnees!$K$6:$K$1000000,"02",Donnees!$F$6:$F$1000000,"ATE")</f>
        <v>0</v>
      </c>
      <c r="E30" s="21">
        <f>-SUMIFS(Donnees!$I$6:$I$1000000,Donnees!$K$6:$K$1000000,"03",Donnees!$F$6:$F$1000000,"ATE")+SUMIFS(Donnees!$J$6:$J$1000000,Donnees!$K$6:$K$1000000,"03",Donnees!$F$6:$F$1000000,"ATE")</f>
        <v>0</v>
      </c>
      <c r="F30" s="21">
        <f>-SUMIFS(Donnees!$I$6:$I$1000000,Donnees!$K$6:$K$1000000,"04",Donnees!$F$6:$F$1000000,"ATE")+SUMIFS(Donnees!$J$6:$J$1000000,Donnees!$K$6:$K$1000000,"04",Donnees!$F$6:$F$1000000,"ATE")</f>
        <v>0</v>
      </c>
      <c r="G30" s="21">
        <f>-SUMIFS(Donnees!$I$6:$I$1000000,Donnees!$K$6:$K$1000000,"05",Donnees!$F$6:$F$1000000,"ATE")+SUMIFS(Donnees!$J$6:$J$1000000,Donnees!$K$6:$K$1000000,"05",Donnees!$F$6:$F$1000000,"ATE")</f>
        <v>0</v>
      </c>
      <c r="H30" s="21">
        <f>-SUMIFS(Donnees!$I$6:$I$1000000,Donnees!$K$6:$K$1000000,"06",Donnees!$F$6:$F$1000000,"ATE")+SUMIFS(Donnees!$J$6:$J$1000000,Donnees!$K$6:$K$1000000,"06",Donnees!$F$6:$F$1000000,"ATE")</f>
        <v>0</v>
      </c>
      <c r="I30" s="21">
        <f>-SUMIFS(Donnees!$I$6:$I$1000000,Donnees!$K$6:$K$1000000,"07",Donnees!$F$6:$F$1000000,"ATE")+SUMIFS(Donnees!$J$6:$J$1000000,Donnees!$K$6:$K$1000000,"07",Donnees!$F$6:$F$1000000,"ATE")</f>
        <v>0</v>
      </c>
      <c r="J30" s="21">
        <f>-SUMIFS(Donnees!$I$6:$I$1000000,Donnees!$K$6:$K$1000000,"08",Donnees!$F$6:$F$1000000,"ATE")+SUMIFS(Donnees!$J$6:$J$1000000,Donnees!$K$6:$K$1000000,"08",Donnees!$F$6:$F$1000000,"ATE")</f>
        <v>0</v>
      </c>
      <c r="K30" s="21">
        <f>-SUMIFS(Donnees!$I$6:$I$1000000,Donnees!$K$6:$K$1000000,"09",Donnees!$F$6:$F$1000000,"ATE")+SUMIFS(Donnees!$J$6:$J$1000000,Donnees!$K$6:$K$1000000,"09",Donnees!$F$6:$F$1000000,"ATE")</f>
        <v>0</v>
      </c>
      <c r="L30" s="21">
        <f>-SUMIFS(Donnees!$I$6:$I$1000000,Donnees!$K$6:$K$1000000,"10",Donnees!$F$6:$F$1000000,"ATE")+SUMIFS(Donnees!$J$6:$J$1000000,Donnees!$K$6:$K$1000000,"10",Donnees!$F$6:$F$1000000,"ATE")</f>
        <v>0</v>
      </c>
      <c r="M30" s="21">
        <f>-SUMIFS(Donnees!$I$6:$I$1000000,Donnees!$K$6:$K$1000000,"11",Donnees!$F$6:$F$1000000,"ATE")+SUMIFS(Donnees!$J$6:$J$1000000,Donnees!$K$6:$K$1000000,"11",Donnees!$F$6:$F$1000000,"ATE")</f>
        <v>0</v>
      </c>
      <c r="N30" s="21">
        <f>-SUMIFS(Donnees!$I$6:$I$1000000,Donnees!$K$6:$K$1000000,"12",Donnees!$F$6:$F$1000000,"ATE")+SUMIFS(Donnees!$J$6:$J$1000000,Donnees!$K$6:$K$1000000,"12",Donnees!$F$6:$F$1000000,"ATE")</f>
        <v>0</v>
      </c>
      <c r="O30" s="23">
        <f t="shared" si="2"/>
        <v>0</v>
      </c>
    </row>
    <row r="31" spans="2:15" ht="15" customHeight="1" thickBot="1" x14ac:dyDescent="0.3">
      <c r="B31" s="52" t="s">
        <v>77</v>
      </c>
      <c r="C31" s="18">
        <f>-SUMIFS(Donnees!$I$6:$I$1000000,Donnees!$K$6:$K$1000000,"01",Donnees!$F$6:$F$1000000,"CTE")+SUMIFS(Donnees!$J$6:$J$1000000,Donnees!$K$6:$K$1000000,"01",Donnees!$F$6:$F$1000000,"CTE")
-SUMIFS(Donnees!$I$6:$I$1000000,Donnees!$K$6:$K$1000000,"01",Donnees!$F$6:$F$1000000,"ENCNR")+SUMIFS(Donnees!$J$6:$J$1000000,Donnees!$K$6:$K$1000000,"01",Donnees!$F$6:$F$1000000,"ENCNR")</f>
        <v>0</v>
      </c>
      <c r="D31" s="18">
        <f>-SUMIFS(Donnees!$I$6:$I$1000000,Donnees!$K$6:$K$1000000,"02",Donnees!$F$6:$F$1000000,"CTE")+SUMIFS(Donnees!$J$6:$J$1000000,Donnees!$K$6:$K$1000000,"02",Donnees!$F$6:$F$1000000,"CTE")
-SUMIFS(Donnees!$I$6:$I$1000000,Donnees!$K$6:$K$1000000,"02",Donnees!$F$6:$F$1000000,"ENCNR")+SUMIFS(Donnees!$J$6:$J$1000000,Donnees!$K$6:$K$1000000,"02",Donnees!$F$6:$F$1000000,"ENCNR")</f>
        <v>0</v>
      </c>
      <c r="E31" s="18">
        <f>-SUMIFS(Donnees!$I$6:$I$1000000,Donnees!$K$6:$K$1000000,"03",Donnees!$F$6:$F$1000000,"CTE")+SUMIFS(Donnees!$J$6:$J$1000000,Donnees!$K$6:$K$1000000,"03",Donnees!$F$6:$F$1000000,"CTE")
-SUMIFS(Donnees!$I$6:$I$1000000,Donnees!$K$6:$K$1000000,"03",Donnees!$F$6:$F$1000000,"ENCNR")+SUMIFS(Donnees!$J$6:$J$1000000,Donnees!$K$6:$K$1000000,"03",Donnees!$F$6:$F$1000000,"ENCNR")</f>
        <v>0</v>
      </c>
      <c r="F31" s="18">
        <f>-SUMIFS(Donnees!$I$6:$I$1000000,Donnees!$K$6:$K$1000000,"04",Donnees!$F$6:$F$1000000,"CTE")+SUMIFS(Donnees!$J$6:$J$1000000,Donnees!$K$6:$K$1000000,"04",Donnees!$F$6:$F$1000000,"CTE")
-SUMIFS(Donnees!$I$6:$I$1000000,Donnees!$K$6:$K$1000000,"04",Donnees!$F$6:$F$1000000,"ENCNR")+SUMIFS(Donnees!$J$6:$J$1000000,Donnees!$K$6:$K$1000000,"04",Donnees!$F$6:$F$1000000,"ENCNR")</f>
        <v>0</v>
      </c>
      <c r="G31" s="18">
        <f>-SUMIFS(Donnees!$I$6:$I$1000000,Donnees!$K$6:$K$1000000,"05",Donnees!$F$6:$F$1000000,"CTE")+SUMIFS(Donnees!$J$6:$J$1000000,Donnees!$K$6:$K$1000000,"05",Donnees!$F$6:$F$1000000,"CTE")
-SUMIFS(Donnees!$I$6:$I$1000000,Donnees!$K$6:$K$1000000,"05",Donnees!$F$6:$F$1000000,"ENCNR")+SUMIFS(Donnees!$J$6:$J$1000000,Donnees!$K$6:$K$1000000,"05",Donnees!$F$6:$F$1000000,"ENCNR")</f>
        <v>0</v>
      </c>
      <c r="H31" s="18">
        <f>-SUMIFS(Donnees!$I$6:$I$1000000,Donnees!$K$6:$K$1000000,"06",Donnees!$F$6:$F$1000000,"CTE")+SUMIFS(Donnees!$J$6:$J$1000000,Donnees!$K$6:$K$1000000,"06",Donnees!$F$6:$F$1000000,"CTE")
-SUMIFS(Donnees!$I$6:$I$1000000,Donnees!$K$6:$K$1000000,"06",Donnees!$F$6:$F$1000000,"ENCNR")+SUMIFS(Donnees!$J$6:$J$1000000,Donnees!$K$6:$K$1000000,"06",Donnees!$F$6:$F$1000000,"ENCNR")</f>
        <v>3000</v>
      </c>
      <c r="I31" s="18">
        <f>-SUMIFS(Donnees!$I$6:$I$1000000,Donnees!$K$6:$K$1000000,"07",Donnees!$F$6:$F$1000000,"CTE")+SUMIFS(Donnees!$J$6:$J$1000000,Donnees!$K$6:$K$1000000,"07",Donnees!$F$6:$F$1000000,"CTE")
-SUMIFS(Donnees!$I$6:$I$1000000,Donnees!$K$6:$K$1000000,"07",Donnees!$F$6:$F$1000000,"ENCNR")+SUMIFS(Donnees!$J$6:$J$1000000,Donnees!$K$6:$K$1000000,"07",Donnees!$F$6:$F$1000000,"ENCNR")</f>
        <v>0</v>
      </c>
      <c r="J31" s="18">
        <f>-SUMIFS(Donnees!$I$6:$I$1000000,Donnees!$K$6:$K$1000000,"08",Donnees!$F$6:$F$1000000,"CTE")+SUMIFS(Donnees!$J$6:$J$1000000,Donnees!$K$6:$K$1000000,"08",Donnees!$F$6:$F$1000000,"CTE")
-SUMIFS(Donnees!$I$6:$I$1000000,Donnees!$K$6:$K$1000000,"08",Donnees!$F$6:$F$1000000,"ENCNR")+SUMIFS(Donnees!$J$6:$J$1000000,Donnees!$K$6:$K$1000000,"08",Donnees!$F$6:$F$1000000,"ENCNR")</f>
        <v>0</v>
      </c>
      <c r="K31" s="18">
        <f>-SUMIFS(Donnees!$I$6:$I$1000000,Donnees!$K$6:$K$1000000,"09",Donnees!$F$6:$F$1000000,"CTE")+SUMIFS(Donnees!$J$6:$J$1000000,Donnees!$K$6:$K$1000000,"09",Donnees!$F$6:$F$1000000,"CTE")
-SUMIFS(Donnees!$I$6:$I$1000000,Donnees!$K$6:$K$1000000,"09",Donnees!$F$6:$F$1000000,"ENCNR")+SUMIFS(Donnees!$J$6:$J$1000000,Donnees!$K$6:$K$1000000,"09",Donnees!$F$6:$F$1000000,"ENCNR")</f>
        <v>14000</v>
      </c>
      <c r="L31" s="18">
        <f>-SUMIFS(Donnees!$I$6:$I$1000000,Donnees!$K$6:$K$1000000,"10",Donnees!$F$6:$F$1000000,"CTE")+SUMIFS(Donnees!$J$6:$J$1000000,Donnees!$K$6:$K$1000000,"10",Donnees!$F$6:$F$1000000,"CTE")
-SUMIFS(Donnees!$I$6:$I$1000000,Donnees!$K$6:$K$1000000,"10",Donnees!$F$6:$F$1000000,"ENCNR")+SUMIFS(Donnees!$J$6:$J$1000000,Donnees!$K$6:$K$1000000,"10",Donnees!$F$6:$F$1000000,"ENCNR")</f>
        <v>0</v>
      </c>
      <c r="M31" s="18">
        <f>-SUMIFS(Donnees!$I$6:$I$1000000,Donnees!$K$6:$K$1000000,"11",Donnees!$F$6:$F$1000000,"CTE")+SUMIFS(Donnees!$J$6:$J$1000000,Donnees!$K$6:$K$1000000,"11",Donnees!$F$6:$F$1000000,"CTE")
-SUMIFS(Donnees!$I$6:$I$1000000,Donnees!$K$6:$K$1000000,"11",Donnees!$F$6:$F$1000000,"ENCNR")+SUMIFS(Donnees!$J$6:$J$1000000,Donnees!$K$6:$K$1000000,"11",Donnees!$F$6:$F$1000000,"ENCNR")</f>
        <v>0</v>
      </c>
      <c r="N31" s="18">
        <f>-SUMIFS(Donnees!$I$6:$I$1000000,Donnees!$K$6:$K$1000000,"12",Donnees!$F$6:$F$1000000,"CTE")+SUMIFS(Donnees!$J$6:$J$1000000,Donnees!$K$6:$K$1000000,"12",Donnees!$F$6:$F$1000000,"CTE")
-SUMIFS(Donnees!$I$6:$I$1000000,Donnees!$K$6:$K$1000000,"12",Donnees!$F$6:$F$1000000,"ENCNR")+SUMIFS(Donnees!$J$6:$J$1000000,Donnees!$K$6:$K$1000000,"12",Donnees!$F$6:$F$1000000,"ENCNR")</f>
        <v>12000</v>
      </c>
      <c r="O31" s="20">
        <f t="shared" ref="O31" si="8">SUM(C31:N31)</f>
        <v>29000</v>
      </c>
    </row>
    <row r="32" spans="2:15" ht="15" customHeight="1" thickBot="1" x14ac:dyDescent="0.3">
      <c r="B32" s="25" t="s">
        <v>33</v>
      </c>
      <c r="C32" s="26">
        <f t="shared" ref="C32:O32" si="9">+C11+C18+C23</f>
        <v>27400000</v>
      </c>
      <c r="D32" s="27">
        <f t="shared" si="9"/>
        <v>16912000</v>
      </c>
      <c r="E32" s="27">
        <f t="shared" si="9"/>
        <v>10985000</v>
      </c>
      <c r="F32" s="27">
        <f t="shared" si="9"/>
        <v>16580000</v>
      </c>
      <c r="G32" s="27">
        <f t="shared" si="9"/>
        <v>8444630</v>
      </c>
      <c r="H32" s="27">
        <f t="shared" si="9"/>
        <v>8263000</v>
      </c>
      <c r="I32" s="27">
        <f t="shared" si="9"/>
        <v>7660000</v>
      </c>
      <c r="J32" s="27">
        <f t="shared" si="9"/>
        <v>17743000</v>
      </c>
      <c r="K32" s="27">
        <f t="shared" si="9"/>
        <v>3174000</v>
      </c>
      <c r="L32" s="27">
        <f t="shared" si="9"/>
        <v>88005000</v>
      </c>
      <c r="M32" s="27">
        <f t="shared" si="9"/>
        <v>10508000</v>
      </c>
      <c r="N32" s="27">
        <f t="shared" si="9"/>
        <v>11216000</v>
      </c>
      <c r="O32" s="28">
        <f t="shared" si="9"/>
        <v>226890630</v>
      </c>
    </row>
    <row r="33" spans="2:15" ht="15" customHeight="1" thickBot="1" x14ac:dyDescent="0.3">
      <c r="B33" s="29" t="s">
        <v>24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/>
    </row>
    <row r="34" spans="2:15" ht="15" customHeight="1" thickBot="1" x14ac:dyDescent="0.3">
      <c r="B34" s="17" t="s">
        <v>25</v>
      </c>
      <c r="C34" s="18">
        <f>SUM(C35:C38)</f>
        <v>2989000</v>
      </c>
      <c r="D34" s="19">
        <f t="shared" ref="D34:O34" si="10">SUM(D35:D38)</f>
        <v>1866000</v>
      </c>
      <c r="E34" s="19">
        <f t="shared" si="10"/>
        <v>1624000</v>
      </c>
      <c r="F34" s="19">
        <f t="shared" si="10"/>
        <v>1536000</v>
      </c>
      <c r="G34" s="19">
        <f t="shared" si="10"/>
        <v>15120000</v>
      </c>
      <c r="H34" s="19">
        <f t="shared" si="10"/>
        <v>10800000</v>
      </c>
      <c r="I34" s="19">
        <f t="shared" si="10"/>
        <v>15120000</v>
      </c>
      <c r="J34" s="19">
        <f t="shared" si="10"/>
        <v>12960000</v>
      </c>
      <c r="K34" s="19">
        <f t="shared" si="10"/>
        <v>6480000</v>
      </c>
      <c r="L34" s="19">
        <f t="shared" si="10"/>
        <v>960000</v>
      </c>
      <c r="M34" s="19">
        <f t="shared" si="10"/>
        <v>800000</v>
      </c>
      <c r="N34" s="19">
        <f t="shared" si="10"/>
        <v>766000</v>
      </c>
      <c r="O34" s="20">
        <f t="shared" si="10"/>
        <v>71021000</v>
      </c>
    </row>
    <row r="35" spans="2:15" ht="15" customHeight="1" x14ac:dyDescent="0.25">
      <c r="B35" s="42" t="s">
        <v>26</v>
      </c>
      <c r="C35" s="21">
        <f>SUMIFS(Donnees!$I$6:$I$1000000,Donnees!$L$6:$L$1000000,"G",Donnees!$K$6:$K$1000000,"01",Donnees!$F$6:$F$1000000,"PER")-SUMIFS(Donnees!$J$6:$J$1000000,Donnees!$L$6:$L$1000000,"G",Donnees!$K$6:$K$1000000,"01",Donnees!$F$6:$F$1000000,"PER")</f>
        <v>685000</v>
      </c>
      <c r="D35" s="22">
        <f>SUMIFS(Donnees!$I$6:$I$1000000,Donnees!$L$6:$L$1000000,"G",Donnees!$K$6:$K$1000000,"02",Donnees!$F$6:$F$1000000,"PER")-SUMIFS(Donnees!$J$6:$J$1000000,Donnees!$L$6:$L$1000000,"G",Donnees!$K$6:$K$1000000,"02",Donnees!$F$6:$F$1000000,"PER")</f>
        <v>330000</v>
      </c>
      <c r="E35" s="22">
        <f>SUMIFS(Donnees!$I$6:$I$1000000,Donnees!$L$6:$L$1000000,"G",Donnees!$K$6:$K$1000000,"03",Donnees!$F$6:$F$1000000,"PER")-SUMIFS(Donnees!$J$6:$J$1000000,Donnees!$L$6:$L$1000000,"G",Donnees!$K$6:$K$1000000,"03",Donnees!$F$6:$F$1000000,"PER")</f>
        <v>384000</v>
      </c>
      <c r="F35" s="22">
        <f>SUMIFS(Donnees!$I$6:$I$1000000,Donnees!$L$6:$L$1000000,"G",Donnees!$K$6:$K$1000000,"04",Donnees!$F$6:$F$1000000,"PER")-SUMIFS(Donnees!$J$6:$J$1000000,Donnees!$L$6:$L$1000000,"G",Donnees!$K$6:$K$1000000,"04",Donnees!$F$6:$F$1000000,"PER")</f>
        <v>0</v>
      </c>
      <c r="G35" s="22">
        <f>SUMIFS(Donnees!$I$6:$I$1000000,Donnees!$L$6:$L$1000000,"G",Donnees!$K$6:$K$1000000,"05",Donnees!$F$6:$F$1000000,"PER")-SUMIFS(Donnees!$J$6:$J$1000000,Donnees!$L$6:$L$1000000,"G",Donnees!$K$6:$K$1000000,"05",Donnees!$F$6:$F$1000000,"PER")</f>
        <v>2160000</v>
      </c>
      <c r="H35" s="22">
        <f>SUMIFS(Donnees!$I$6:$I$1000000,Donnees!$L$6:$L$1000000,"G",Donnees!$K$6:$K$1000000,"06",Donnees!$F$6:$F$1000000,"PER")-SUMIFS(Donnees!$J$6:$J$1000000,Donnees!$L$6:$L$1000000,"G",Donnees!$K$6:$K$1000000,"06",Donnees!$F$6:$F$1000000,"PER")</f>
        <v>2160000</v>
      </c>
      <c r="I35" s="22">
        <f>SUMIFS(Donnees!$I$6:$I$1000000,Donnees!$L$6:$L$1000000,"G",Donnees!$K$6:$K$1000000,"07",Donnees!$F$6:$F$1000000,"PER")-SUMIFS(Donnees!$J$6:$J$1000000,Donnees!$L$6:$L$1000000,"G",Donnees!$K$6:$K$1000000,"07",Donnees!$F$6:$F$1000000,"PER")</f>
        <v>2160000</v>
      </c>
      <c r="J35" s="22">
        <f>SUMIFS(Donnees!$I$6:$I$1000000,Donnees!$L$6:$L$1000000,"G",Donnees!$K$6:$K$1000000,"08",Donnees!$F$6:$F$1000000,"PER")-SUMIFS(Donnees!$J$6:$J$1000000,Donnees!$L$6:$L$1000000,"G",Donnees!$K$6:$K$1000000,"08",Donnees!$F$6:$F$1000000,"PER")</f>
        <v>2160000</v>
      </c>
      <c r="K35" s="22">
        <f>SUMIFS(Donnees!$I$6:$I$1000000,Donnees!$L$6:$L$1000000,"G",Donnees!$K$6:$K$1000000,"09",Donnees!$F$6:$F$1000000,"PER")-SUMIFS(Donnees!$J$6:$J$1000000,Donnees!$L$6:$L$1000000,"G",Donnees!$K$6:$K$1000000,"09",Donnees!$F$6:$F$1000000,"PER")</f>
        <v>0</v>
      </c>
      <c r="L35" s="22">
        <f>SUMIFS(Donnees!$I$6:$I$1000000,Donnees!$L$6:$L$1000000,"G",Donnees!$K$6:$K$1000000,"10",Donnees!$F$6:$F$1000000,"PER")-SUMIFS(Donnees!$J$6:$J$1000000,Donnees!$L$6:$L$1000000,"G",Donnees!$K$6:$K$1000000,"10",Donnees!$F$6:$F$1000000,"PER")</f>
        <v>480000</v>
      </c>
      <c r="M35" s="22">
        <f>SUMIFS(Donnees!$I$6:$I$1000000,Donnees!$L$6:$L$1000000,"G",Donnees!$K$6:$K$1000000,"11",Donnees!$F$6:$F$1000000,"PER")-SUMIFS(Donnees!$J$6:$J$1000000,Donnees!$L$6:$L$1000000,"G",Donnees!$K$6:$K$1000000,"11",Donnees!$F$6:$F$1000000,"PER")</f>
        <v>480000</v>
      </c>
      <c r="N35" s="22">
        <f>SUMIFS(Donnees!$I$6:$I$1000000,Donnees!$L$6:$L$1000000,"G",Donnees!$K$6:$K$1000000,"12",Donnees!$F$6:$F$1000000,"PER")-SUMIFS(Donnees!$J$6:$J$1000000,Donnees!$L$6:$L$1000000,"G",Donnees!$K$6:$K$1000000,"12",Donnees!$F$6:$F$1000000,"PER")</f>
        <v>256000</v>
      </c>
      <c r="O35" s="23">
        <f t="shared" ref="O35:O38" si="11">SUM(C35:N35)</f>
        <v>11255000</v>
      </c>
    </row>
    <row r="36" spans="2:15" ht="15" customHeight="1" x14ac:dyDescent="0.25">
      <c r="B36" s="43" t="s">
        <v>27</v>
      </c>
      <c r="C36" s="21">
        <f>SUMIFS(Donnees!$I$6:$I$1000000,Donnees!$L$6:$L$1000000,"G",Donnees!$K$6:$K$1000000,"01",Donnees!$F$6:$F$1000000,"FON")-SUMIFS(Donnees!$J$6:$J$1000000,Donnees!$L$6:$L$1000000,"G",Donnees!$K$6:$K$1000000,"01",Donnees!$F$6:$F$1000000,"FON")</f>
        <v>2304000</v>
      </c>
      <c r="D36" s="22">
        <f>SUMIFS(Donnees!$I$6:$I$1000000,Donnees!$L$6:$L$1000000,"G",Donnees!$K$6:$K$1000000,"02",Donnees!$F$6:$F$1000000,"FON")-SUMIFS(Donnees!$J$6:$J$1000000,Donnees!$L$6:$L$1000000,"G",Donnees!$K$6:$K$1000000,"02",Donnees!$F$6:$F$1000000,"FON")</f>
        <v>1536000</v>
      </c>
      <c r="E36" s="22">
        <f>SUMIFS(Donnees!$I$6:$I$1000000,Donnees!$L$6:$L$1000000,"G",Donnees!$K$6:$K$1000000,"03",Donnees!$F$6:$F$1000000,"FON")-SUMIFS(Donnees!$J$6:$J$1000000,Donnees!$L$6:$L$1000000,"G",Donnees!$K$6:$K$1000000,"03",Donnees!$F$6:$F$1000000,"FON")</f>
        <v>1152000</v>
      </c>
      <c r="F36" s="22">
        <f>SUMIFS(Donnees!$I$6:$I$1000000,Donnees!$L$6:$L$1000000,"G",Donnees!$K$6:$K$1000000,"04",Donnees!$F$6:$F$1000000,"FON")-SUMIFS(Donnees!$J$6:$J$1000000,Donnees!$L$6:$L$1000000,"G",Donnees!$K$6:$K$1000000,"04",Donnees!$F$6:$F$1000000,"FON")</f>
        <v>1536000</v>
      </c>
      <c r="G36" s="22">
        <f>SUMIFS(Donnees!$I$6:$I$1000000,Donnees!$L$6:$L$1000000,"G",Donnees!$K$6:$K$1000000,"05",Donnees!$F$6:$F$1000000,"FON")-SUMIFS(Donnees!$J$6:$J$1000000,Donnees!$L$6:$L$1000000,"G",Donnees!$K$6:$K$1000000,"05",Donnees!$F$6:$F$1000000,"FON")</f>
        <v>12960000</v>
      </c>
      <c r="H36" s="22">
        <f>SUMIFS(Donnees!$I$6:$I$1000000,Donnees!$L$6:$L$1000000,"G",Donnees!$K$6:$K$1000000,"06",Donnees!$F$6:$F$1000000,"FON")-SUMIFS(Donnees!$J$6:$J$1000000,Donnees!$L$6:$L$1000000,"G",Donnees!$K$6:$K$1000000,"06",Donnees!$F$6:$F$1000000,"FON")</f>
        <v>8640000</v>
      </c>
      <c r="I36" s="22">
        <f>SUMIFS(Donnees!$I$6:$I$1000000,Donnees!$L$6:$L$1000000,"G",Donnees!$K$6:$K$1000000,"07",Donnees!$F$6:$F$1000000,"FON")-SUMIFS(Donnees!$J$6:$J$1000000,Donnees!$L$6:$L$1000000,"G",Donnees!$K$6:$K$1000000,"07",Donnees!$F$6:$F$1000000,"FON")</f>
        <v>10800000</v>
      </c>
      <c r="J36" s="22">
        <f>SUMIFS(Donnees!$I$6:$I$1000000,Donnees!$L$6:$L$1000000,"G",Donnees!$K$6:$K$1000000,"08",Donnees!$F$6:$F$1000000,"FON")-SUMIFS(Donnees!$J$6:$J$1000000,Donnees!$L$6:$L$1000000,"G",Donnees!$K$6:$K$1000000,"08",Donnees!$F$6:$F$1000000,"FON")</f>
        <v>10800000</v>
      </c>
      <c r="K36" s="22">
        <f>SUMIFS(Donnees!$I$6:$I$1000000,Donnees!$L$6:$L$1000000,"G",Donnees!$K$6:$K$1000000,"09",Donnees!$F$6:$F$1000000,"FON")-SUMIFS(Donnees!$J$6:$J$1000000,Donnees!$L$6:$L$1000000,"G",Donnees!$K$6:$K$1000000,"09",Donnees!$F$6:$F$1000000,"FON")</f>
        <v>6480000</v>
      </c>
      <c r="L36" s="22">
        <f>SUMIFS(Donnees!$I$6:$I$1000000,Donnees!$L$6:$L$1000000,"G",Donnees!$K$6:$K$1000000,"10",Donnees!$F$6:$F$1000000,"FON")-SUMIFS(Donnees!$J$6:$J$1000000,Donnees!$L$6:$L$1000000,"G",Donnees!$K$6:$K$1000000,"10",Donnees!$F$6:$F$1000000,"FON")</f>
        <v>320000</v>
      </c>
      <c r="M36" s="22">
        <f>SUMIFS(Donnees!$I$6:$I$1000000,Donnees!$L$6:$L$1000000,"G",Donnees!$K$6:$K$1000000,"11",Donnees!$F$6:$F$1000000,"FON")-SUMIFS(Donnees!$J$6:$J$1000000,Donnees!$L$6:$L$1000000,"G",Donnees!$K$6:$K$1000000,"11",Donnees!$F$6:$F$1000000,"FON")</f>
        <v>320000</v>
      </c>
      <c r="N36" s="22">
        <f>SUMIFS(Donnees!$I$6:$I$1000000,Donnees!$L$6:$L$1000000,"G",Donnees!$K$6:$K$1000000,"12",Donnees!$F$6:$F$1000000,"FON")-SUMIFS(Donnees!$J$6:$J$1000000,Donnees!$L$6:$L$1000000,"G",Donnees!$K$6:$K$1000000,"12",Donnees!$F$6:$F$1000000,"FON")</f>
        <v>320000</v>
      </c>
      <c r="O36" s="23">
        <f t="shared" si="11"/>
        <v>57168000</v>
      </c>
    </row>
    <row r="37" spans="2:15" ht="15" customHeight="1" x14ac:dyDescent="0.25">
      <c r="B37" s="43" t="s">
        <v>28</v>
      </c>
      <c r="C37" s="21">
        <f>SUMIFS(Donnees!$I$6:$I$1000000,Donnees!$L$6:$L$1000000,"G",Donnees!$K$6:$K$1000000,"01",Donnees!$F$6:$F$1000000,"INT")-SUMIFS(Donnees!$J$6:$J$1000000,Donnees!$L$6:$L$1000000,"G",Donnees!$K$6:$K$1000000,"01",Donnees!$F$6:$F$1000000,"INT")</f>
        <v>0</v>
      </c>
      <c r="D37" s="22">
        <f>SUMIFS(Donnees!$I$6:$I$1000000,Donnees!$L$6:$L$1000000,"G",Donnees!$K$6:$K$1000000,"02",Donnees!$F$6:$F$1000000,"INT")-SUMIFS(Donnees!$J$6:$J$1000000,Donnees!$L$6:$L$1000000,"G",Donnees!$K$6:$K$1000000,"02",Donnees!$F$6:$F$1000000,"INT")</f>
        <v>0</v>
      </c>
      <c r="E37" s="22">
        <f>SUMIFS(Donnees!$I$6:$I$1000000,Donnees!$L$6:$L$1000000,"G",Donnees!$K$6:$K$1000000,"03",Donnees!$F$6:$F$1000000,"INT")-SUMIFS(Donnees!$J$6:$J$1000000,Donnees!$L$6:$L$1000000,"G",Donnees!$K$6:$K$1000000,"03",Donnees!$F$6:$F$1000000,"INT")</f>
        <v>0</v>
      </c>
      <c r="F37" s="22">
        <f>SUMIFS(Donnees!$I$6:$I$1000000,Donnees!$L$6:$L$1000000,"G",Donnees!$K$6:$K$1000000,"04",Donnees!$F$6:$F$1000000,"INT")-SUMIFS(Donnees!$J$6:$J$1000000,Donnees!$L$6:$L$1000000,"G",Donnees!$K$6:$K$1000000,"04",Donnees!$F$6:$F$1000000,"INT")</f>
        <v>0</v>
      </c>
      <c r="G37" s="22">
        <f>SUMIFS(Donnees!$I$6:$I$1000000,Donnees!$L$6:$L$1000000,"G",Donnees!$K$6:$K$1000000,"05",Donnees!$F$6:$F$1000000,"INT")-SUMIFS(Donnees!$J$6:$J$1000000,Donnees!$L$6:$L$1000000,"G",Donnees!$K$6:$K$1000000,"05",Donnees!$F$6:$F$1000000,"INT")</f>
        <v>0</v>
      </c>
      <c r="H37" s="22">
        <f>SUMIFS(Donnees!$I$6:$I$1000000,Donnees!$L$6:$L$1000000,"G",Donnees!$K$6:$K$1000000,"06",Donnees!$F$6:$F$1000000,"INT")-SUMIFS(Donnees!$J$6:$J$1000000,Donnees!$L$6:$L$1000000,"G",Donnees!$K$6:$K$1000000,"06",Donnees!$F$6:$F$1000000,"INT")</f>
        <v>0</v>
      </c>
      <c r="I37" s="22">
        <f>SUMIFS(Donnees!$I$6:$I$1000000,Donnees!$L$6:$L$1000000,"G",Donnees!$K$6:$K$1000000,"07",Donnees!$F$6:$F$1000000,"INT")-SUMIFS(Donnees!$J$6:$J$1000000,Donnees!$L$6:$L$1000000,"G",Donnees!$K$6:$K$1000000,"07",Donnees!$F$6:$F$1000000,"INT")</f>
        <v>2160000</v>
      </c>
      <c r="J37" s="22">
        <f>SUMIFS(Donnees!$I$6:$I$1000000,Donnees!$L$6:$L$1000000,"G",Donnees!$K$6:$K$1000000,"08",Donnees!$F$6:$F$1000000,"INT")-SUMIFS(Donnees!$J$6:$J$1000000,Donnees!$L$6:$L$1000000,"G",Donnees!$K$6:$K$1000000,"08",Donnees!$F$6:$F$1000000,"INT")</f>
        <v>0</v>
      </c>
      <c r="K37" s="22">
        <f>SUMIFS(Donnees!$I$6:$I$1000000,Donnees!$L$6:$L$1000000,"G",Donnees!$K$6:$K$1000000,"09",Donnees!$F$6:$F$1000000,"INT")-SUMIFS(Donnees!$J$6:$J$1000000,Donnees!$L$6:$L$1000000,"G",Donnees!$K$6:$K$1000000,"09",Donnees!$F$6:$F$1000000,"INT")</f>
        <v>0</v>
      </c>
      <c r="L37" s="22">
        <f>SUMIFS(Donnees!$I$6:$I$1000000,Donnees!$L$6:$L$1000000,"G",Donnees!$K$6:$K$1000000,"10",Donnees!$F$6:$F$1000000,"INT")-SUMIFS(Donnees!$J$6:$J$1000000,Donnees!$L$6:$L$1000000,"G",Donnees!$K$6:$K$1000000,"10",Donnees!$F$6:$F$1000000,"INT")</f>
        <v>160000</v>
      </c>
      <c r="M37" s="22">
        <f>SUMIFS(Donnees!$I$6:$I$1000000,Donnees!$L$6:$L$1000000,"G",Donnees!$K$6:$K$1000000,"11",Donnees!$F$6:$F$1000000,"INT")-SUMIFS(Donnees!$J$6:$J$1000000,Donnees!$L$6:$L$1000000,"G",Donnees!$K$6:$K$1000000,"11",Donnees!$F$6:$F$1000000,"INT")</f>
        <v>0</v>
      </c>
      <c r="N37" s="22">
        <f>SUMIFS(Donnees!$I$6:$I$1000000,Donnees!$L$6:$L$1000000,"G",Donnees!$K$6:$K$1000000,"12",Donnees!$F$6:$F$1000000,"INT")-SUMIFS(Donnees!$J$6:$J$1000000,Donnees!$L$6:$L$1000000,"G",Donnees!$K$6:$K$1000000,"12",Donnees!$F$6:$F$1000000,"INT")</f>
        <v>150000</v>
      </c>
      <c r="O37" s="23">
        <f t="shared" si="11"/>
        <v>2470000</v>
      </c>
    </row>
    <row r="38" spans="2:15" ht="15" customHeight="1" thickBot="1" x14ac:dyDescent="0.3">
      <c r="B38" s="44" t="s">
        <v>29</v>
      </c>
      <c r="C38" s="21">
        <f>SUMIFS(Donnees!$I$6:$I$1000000,Donnees!$L$6:$L$1000000,"G",Donnees!$K$6:$K$1000000,"01",Donnees!$F$6:$F$1000000,"INV")-SUMIFS(Donnees!$J$6:$J$1000000,Donnees!$L$6:$L$1000000,"G",Donnees!$K$6:$K$1000000,"01",Donnees!$F$6:$F$1000000,"INV")</f>
        <v>0</v>
      </c>
      <c r="D38" s="22">
        <f>SUMIFS(Donnees!$I$6:$I$1000000,Donnees!$L$6:$L$1000000,"G",Donnees!$K$6:$K$1000000,"02",Donnees!$F$6:$F$1000000,"INV")-SUMIFS(Donnees!$J$6:$J$1000000,Donnees!$L$6:$L$1000000,"G",Donnees!$K$6:$K$1000000,"02",Donnees!$F$6:$F$1000000,"INV")</f>
        <v>0</v>
      </c>
      <c r="E38" s="22">
        <f>SUMIFS(Donnees!$I$6:$I$1000000,Donnees!$L$6:$L$1000000,"G",Donnees!$K$6:$K$1000000,"03",Donnees!$F$6:$F$1000000,"INV")-SUMIFS(Donnees!$J$6:$J$1000000,Donnees!$L$6:$L$1000000,"G",Donnees!$K$6:$K$1000000,"03",Donnees!$F$6:$F$1000000,"INV")</f>
        <v>88000</v>
      </c>
      <c r="F38" s="22">
        <f>SUMIFS(Donnees!$I$6:$I$1000000,Donnees!$L$6:$L$1000000,"G",Donnees!$K$6:$K$1000000,"04",Donnees!$F$6:$F$1000000,"INV")-SUMIFS(Donnees!$J$6:$J$1000000,Donnees!$L$6:$L$1000000,"G",Donnees!$K$6:$K$1000000,"04",Donnees!$F$6:$F$1000000,"INV")</f>
        <v>0</v>
      </c>
      <c r="G38" s="22">
        <f>SUMIFS(Donnees!$I$6:$I$1000000,Donnees!$L$6:$L$1000000,"G",Donnees!$K$6:$K$1000000,"05",Donnees!$F$6:$F$1000000,"INV")-SUMIFS(Donnees!$J$6:$J$1000000,Donnees!$L$6:$L$1000000,"G",Donnees!$K$6:$K$1000000,"05",Donnees!$F$6:$F$1000000,"INV")</f>
        <v>0</v>
      </c>
      <c r="H38" s="22">
        <f>SUMIFS(Donnees!$I$6:$I$1000000,Donnees!$L$6:$L$1000000,"G",Donnees!$K$6:$K$1000000,"06",Donnees!$F$6:$F$1000000,"INV")-SUMIFS(Donnees!$J$6:$J$1000000,Donnees!$L$6:$L$1000000,"G",Donnees!$K$6:$K$1000000,"06",Donnees!$F$6:$F$1000000,"INV")</f>
        <v>0</v>
      </c>
      <c r="I38" s="22">
        <f>SUMIFS(Donnees!$I$6:$I$1000000,Donnees!$L$6:$L$1000000,"G",Donnees!$K$6:$K$1000000,"07",Donnees!$F$6:$F$1000000,"INV")-SUMIFS(Donnees!$J$6:$J$1000000,Donnees!$L$6:$L$1000000,"G",Donnees!$K$6:$K$1000000,"07",Donnees!$F$6:$F$1000000,"INV")</f>
        <v>0</v>
      </c>
      <c r="J38" s="22">
        <f>SUMIFS(Donnees!$I$6:$I$1000000,Donnees!$L$6:$L$1000000,"G",Donnees!$K$6:$K$1000000,"08",Donnees!$F$6:$F$1000000,"INV")-SUMIFS(Donnees!$J$6:$J$1000000,Donnees!$L$6:$L$1000000,"G",Donnees!$K$6:$K$1000000,"08",Donnees!$F$6:$F$1000000,"INV")</f>
        <v>0</v>
      </c>
      <c r="K38" s="22">
        <f>SUMIFS(Donnees!$I$6:$I$1000000,Donnees!$L$6:$L$1000000,"G",Donnees!$K$6:$K$1000000,"09",Donnees!$F$6:$F$1000000,"INV")-SUMIFS(Donnees!$J$6:$J$1000000,Donnees!$L$6:$L$1000000,"G",Donnees!$K$6:$K$1000000,"09",Donnees!$F$6:$F$1000000,"INV")</f>
        <v>0</v>
      </c>
      <c r="L38" s="22">
        <f>SUMIFS(Donnees!$I$6:$I$1000000,Donnees!$L$6:$L$1000000,"G",Donnees!$K$6:$K$1000000,"10",Donnees!$F$6:$F$1000000,"INV")-SUMIFS(Donnees!$J$6:$J$1000000,Donnees!$L$6:$L$1000000,"G",Donnees!$K$6:$K$1000000,"10",Donnees!$F$6:$F$1000000,"INV")</f>
        <v>0</v>
      </c>
      <c r="M38" s="22">
        <f>SUMIFS(Donnees!$I$6:$I$1000000,Donnees!$L$6:$L$1000000,"G",Donnees!$K$6:$K$1000000,"11",Donnees!$F$6:$F$1000000,"INV")-SUMIFS(Donnees!$J$6:$J$1000000,Donnees!$L$6:$L$1000000,"G",Donnees!$K$6:$K$1000000,"11",Donnees!$F$6:$F$1000000,"INV")</f>
        <v>0</v>
      </c>
      <c r="N38" s="22">
        <f>SUMIFS(Donnees!$I$6:$I$1000000,Donnees!$L$6:$L$1000000,"G",Donnees!$K$6:$K$1000000,"12",Donnees!$F$6:$F$1000000,"INV")-SUMIFS(Donnees!$J$6:$J$1000000,Donnees!$L$6:$L$1000000,"G",Donnees!$K$6:$K$1000000,"12",Donnees!$F$6:$F$1000000,"INV")</f>
        <v>40000</v>
      </c>
      <c r="O38" s="23">
        <f t="shared" si="11"/>
        <v>128000</v>
      </c>
    </row>
    <row r="39" spans="2:15" ht="15" customHeight="1" thickBot="1" x14ac:dyDescent="0.3">
      <c r="B39" s="17" t="s">
        <v>30</v>
      </c>
      <c r="C39" s="18">
        <f>SUM(C40:C43)</f>
        <v>17284320</v>
      </c>
      <c r="D39" s="19">
        <f t="shared" ref="D39:O39" si="12">SUM(D40:D43)</f>
        <v>8880000</v>
      </c>
      <c r="E39" s="19">
        <f t="shared" si="12"/>
        <v>7400000</v>
      </c>
      <c r="F39" s="19">
        <f t="shared" si="12"/>
        <v>7104000</v>
      </c>
      <c r="G39" s="19">
        <f t="shared" si="12"/>
        <v>0</v>
      </c>
      <c r="H39" s="19">
        <f t="shared" si="12"/>
        <v>1300000</v>
      </c>
      <c r="I39" s="19">
        <f t="shared" si="12"/>
        <v>533000</v>
      </c>
      <c r="J39" s="19">
        <f t="shared" si="12"/>
        <v>0</v>
      </c>
      <c r="K39" s="19">
        <f t="shared" si="12"/>
        <v>0</v>
      </c>
      <c r="L39" s="19">
        <f t="shared" si="12"/>
        <v>8960000</v>
      </c>
      <c r="M39" s="19">
        <f t="shared" si="12"/>
        <v>5600000</v>
      </c>
      <c r="N39" s="19">
        <f t="shared" si="12"/>
        <v>4894000</v>
      </c>
      <c r="O39" s="20">
        <f t="shared" si="12"/>
        <v>61955320</v>
      </c>
    </row>
    <row r="40" spans="2:15" ht="15" customHeight="1" x14ac:dyDescent="0.25">
      <c r="B40" s="42" t="s">
        <v>26</v>
      </c>
      <c r="C40" s="21">
        <f>SUMIFS(Donnees!$I$6:$I$1000000,Donnees!$L$6:$L$1000000,"F",Donnees!$K$6:$K$1000000,"01",Donnees!$F$6:$F$1000000,"PER")-SUMIFS(Donnees!$J$6:$J$1000000,Donnees!$L$6:$L$1000000,"F",Donnees!$K$6:$K$1000000,"01",Donnees!$F$6:$F$1000000,"PER")</f>
        <v>3512000</v>
      </c>
      <c r="D40" s="22">
        <f>SUMIFS(Donnees!$I$6:$I$1000000,Donnees!$L$6:$L$1000000,"F",Donnees!$K$6:$K$1000000,"02",Donnees!$F$6:$F$1000000,"PER")-SUMIFS(Donnees!$J$6:$J$1000000,Donnees!$L$6:$L$1000000,"F",Donnees!$K$6:$K$1000000,"02",Donnees!$F$6:$F$1000000,"PER")</f>
        <v>1776000</v>
      </c>
      <c r="E40" s="22">
        <f>SUMIFS(Donnees!$I$6:$I$1000000,Donnees!$L$6:$L$1000000,"F",Donnees!$K$6:$K$1000000,"03",Donnees!$F$6:$F$1000000,"PER")-SUMIFS(Donnees!$J$6:$J$1000000,Donnees!$L$6:$L$1000000,"F",Donnees!$K$6:$K$1000000,"03",Donnees!$F$6:$F$1000000,"PER")</f>
        <v>1784000</v>
      </c>
      <c r="F40" s="22">
        <f>SUMIFS(Donnees!$I$6:$I$1000000,Donnees!$L$6:$L$1000000,"F",Donnees!$K$6:$K$1000000,"04",Donnees!$F$6:$F$1000000,"PER")-SUMIFS(Donnees!$J$6:$J$1000000,Donnees!$L$6:$L$1000000,"F",Donnees!$K$6:$K$1000000,"04",Donnees!$F$6:$F$1000000,"PER")</f>
        <v>0</v>
      </c>
      <c r="G40" s="22">
        <f>SUMIFS(Donnees!$I$6:$I$1000000,Donnees!$L$6:$L$1000000,"F",Donnees!$K$6:$K$1000000,"05",Donnees!$F$6:$F$1000000,"PER")-SUMIFS(Donnees!$J$6:$J$1000000,Donnees!$L$6:$L$1000000,"F",Donnees!$K$6:$K$1000000,"05",Donnees!$F$6:$F$1000000,"PER")</f>
        <v>0</v>
      </c>
      <c r="H40" s="22">
        <f>SUMIFS(Donnees!$I$6:$I$1000000,Donnees!$L$6:$L$1000000,"F",Donnees!$K$6:$K$1000000,"06",Donnees!$F$6:$F$1000000,"PER")-SUMIFS(Donnees!$J$6:$J$1000000,Donnees!$L$6:$L$1000000,"F",Donnees!$K$6:$K$1000000,"06",Donnees!$F$6:$F$1000000,"PER")</f>
        <v>0</v>
      </c>
      <c r="I40" s="22">
        <f>SUMIFS(Donnees!$I$6:$I$1000000,Donnees!$L$6:$L$1000000,"F",Donnees!$K$6:$K$1000000,"07",Donnees!$F$6:$F$1000000,"PER")-SUMIFS(Donnees!$J$6:$J$1000000,Donnees!$L$6:$L$1000000,"F",Donnees!$K$6:$K$1000000,"07",Donnees!$F$6:$F$1000000,"PER")</f>
        <v>0</v>
      </c>
      <c r="J40" s="22">
        <f>SUMIFS(Donnees!$I$6:$I$1000000,Donnees!$L$6:$L$1000000,"F",Donnees!$K$6:$K$1000000,"08",Donnees!$F$6:$F$1000000,"PER")-SUMIFS(Donnees!$J$6:$J$1000000,Donnees!$L$6:$L$1000000,"F",Donnees!$K$6:$K$1000000,"08",Donnees!$F$6:$F$1000000,"PER")</f>
        <v>0</v>
      </c>
      <c r="K40" s="22">
        <f>SUMIFS(Donnees!$I$6:$I$1000000,Donnees!$L$6:$L$1000000,"F",Donnees!$K$6:$K$1000000,"09",Donnees!$F$6:$F$1000000,"PER")-SUMIFS(Donnees!$J$6:$J$1000000,Donnees!$L$6:$L$1000000,"F",Donnees!$K$6:$K$1000000,"09",Donnees!$F$6:$F$1000000,"PER")</f>
        <v>0</v>
      </c>
      <c r="L40" s="22">
        <f>SUMIFS(Donnees!$I$6:$I$1000000,Donnees!$L$6:$L$1000000,"F",Donnees!$K$6:$K$1000000,"10",Donnees!$F$6:$F$1000000,"PER")-SUMIFS(Donnees!$J$6:$J$1000000,Donnees!$L$6:$L$1000000,"F",Donnees!$K$6:$K$1000000,"10",Donnees!$F$6:$F$1000000,"PER")</f>
        <v>2240000</v>
      </c>
      <c r="M40" s="22">
        <f>SUMIFS(Donnees!$I$6:$I$1000000,Donnees!$L$6:$L$1000000,"F",Donnees!$K$6:$K$1000000,"11",Donnees!$F$6:$F$1000000,"PER")-SUMIFS(Donnees!$J$6:$J$1000000,Donnees!$L$6:$L$1000000,"F",Donnees!$K$6:$K$1000000,"11",Donnees!$F$6:$F$1000000,"PER")</f>
        <v>1120000</v>
      </c>
      <c r="N40" s="22">
        <f>SUMIFS(Donnees!$I$6:$I$1000000,Donnees!$L$6:$L$1000000,"F",Donnees!$K$6:$K$1000000,"12",Donnees!$F$6:$F$1000000,"PER")-SUMIFS(Donnees!$J$6:$J$1000000,Donnees!$L$6:$L$1000000,"F",Donnees!$K$6:$K$1000000,"12",Donnees!$F$6:$F$1000000,"PER")</f>
        <v>1120000</v>
      </c>
      <c r="O40" s="23">
        <f t="shared" ref="O40:O43" si="13">SUM(C40:N40)</f>
        <v>11552000</v>
      </c>
    </row>
    <row r="41" spans="2:15" ht="15" customHeight="1" x14ac:dyDescent="0.25">
      <c r="B41" s="43" t="s">
        <v>27</v>
      </c>
      <c r="C41" s="21">
        <f>SUMIFS(Donnees!$I$6:$I$1000000,Donnees!$L$6:$L$1000000,"F",Donnees!$K$6:$K$1000000,"01",Donnees!$F$6:$F$1000000,"FON")-SUMIFS(Donnees!$J$6:$J$1000000,Donnees!$L$6:$L$1000000,"F",Donnees!$K$6:$K$1000000,"01",Donnees!$F$6:$F$1000000,"FON")</f>
        <v>10656000</v>
      </c>
      <c r="D41" s="22">
        <f>SUMIFS(Donnees!$I$6:$I$1000000,Donnees!$L$6:$L$1000000,"F",Donnees!$K$6:$K$1000000,"02",Donnees!$F$6:$F$1000000,"FON")-SUMIFS(Donnees!$J$6:$J$1000000,Donnees!$L$6:$L$1000000,"F",Donnees!$K$6:$K$1000000,"02",Donnees!$F$6:$F$1000000,"FON")</f>
        <v>7104000</v>
      </c>
      <c r="E41" s="22">
        <f>SUMIFS(Donnees!$I$6:$I$1000000,Donnees!$L$6:$L$1000000,"F",Donnees!$K$6:$K$1000000,"03",Donnees!$F$6:$F$1000000,"FON")-SUMIFS(Donnees!$J$6:$J$1000000,Donnees!$L$6:$L$1000000,"F",Donnees!$K$6:$K$1000000,"03",Donnees!$F$6:$F$1000000,"FON")</f>
        <v>5328000</v>
      </c>
      <c r="F41" s="22">
        <f>SUMIFS(Donnees!$I$6:$I$1000000,Donnees!$L$6:$L$1000000,"F",Donnees!$K$6:$K$1000000,"04",Donnees!$F$6:$F$1000000,"FON")-SUMIFS(Donnees!$J$6:$J$1000000,Donnees!$L$6:$L$1000000,"F",Donnees!$K$6:$K$1000000,"04",Donnees!$F$6:$F$1000000,"FON")</f>
        <v>7104000</v>
      </c>
      <c r="G41" s="22">
        <f>SUMIFS(Donnees!$I$6:$I$1000000,Donnees!$L$6:$L$1000000,"F",Donnees!$K$6:$K$1000000,"05",Donnees!$F$6:$F$1000000,"FON")-SUMIFS(Donnees!$J$6:$J$1000000,Donnees!$L$6:$L$1000000,"F",Donnees!$K$6:$K$1000000,"05",Donnees!$F$6:$F$1000000,"FON")</f>
        <v>0</v>
      </c>
      <c r="H41" s="22">
        <f>SUMIFS(Donnees!$I$6:$I$1000000,Donnees!$L$6:$L$1000000,"F",Donnees!$K$6:$K$1000000,"06",Donnees!$F$6:$F$1000000,"FON")-SUMIFS(Donnees!$J$6:$J$1000000,Donnees!$L$6:$L$1000000,"F",Donnees!$K$6:$K$1000000,"06",Donnees!$F$6:$F$1000000,"FON")</f>
        <v>0</v>
      </c>
      <c r="I41" s="22">
        <f>SUMIFS(Donnees!$I$6:$I$1000000,Donnees!$L$6:$L$1000000,"F",Donnees!$K$6:$K$1000000,"07",Donnees!$F$6:$F$1000000,"FON")-SUMIFS(Donnees!$J$6:$J$1000000,Donnees!$L$6:$L$1000000,"F",Donnees!$K$6:$K$1000000,"07",Donnees!$F$6:$F$1000000,"FON")</f>
        <v>0</v>
      </c>
      <c r="J41" s="22">
        <f>SUMIFS(Donnees!$I$6:$I$1000000,Donnees!$L$6:$L$1000000,"F",Donnees!$K$6:$K$1000000,"08",Donnees!$F$6:$F$1000000,"FON")-SUMIFS(Donnees!$J$6:$J$1000000,Donnees!$L$6:$L$1000000,"F",Donnees!$K$6:$K$1000000,"08",Donnees!$F$6:$F$1000000,"FON")</f>
        <v>0</v>
      </c>
      <c r="K41" s="22">
        <f>SUMIFS(Donnees!$I$6:$I$1000000,Donnees!$L$6:$L$1000000,"F",Donnees!$K$6:$K$1000000,"09",Donnees!$F$6:$F$1000000,"FON")-SUMIFS(Donnees!$J$6:$J$1000000,Donnees!$L$6:$L$1000000,"F",Donnees!$K$6:$K$1000000,"09",Donnees!$F$6:$F$1000000,"FON")</f>
        <v>0</v>
      </c>
      <c r="L41" s="22">
        <f>SUMIFS(Donnees!$I$6:$I$1000000,Donnees!$L$6:$L$1000000,"F",Donnees!$K$6:$K$1000000,"10",Donnees!$F$6:$F$1000000,"FON")-SUMIFS(Donnees!$J$6:$J$1000000,Donnees!$L$6:$L$1000000,"F",Donnees!$K$6:$K$1000000,"10",Donnees!$F$6:$F$1000000,"FON")</f>
        <v>6720000</v>
      </c>
      <c r="M41" s="22">
        <f>SUMIFS(Donnees!$I$6:$I$1000000,Donnees!$L$6:$L$1000000,"F",Donnees!$K$6:$K$1000000,"11",Donnees!$F$6:$F$1000000,"FON")-SUMIFS(Donnees!$J$6:$J$1000000,Donnees!$L$6:$L$1000000,"F",Donnees!$K$6:$K$1000000,"11",Donnees!$F$6:$F$1000000,"FON")</f>
        <v>4480000</v>
      </c>
      <c r="N41" s="22">
        <f>SUMIFS(Donnees!$I$6:$I$1000000,Donnees!$L$6:$L$1000000,"F",Donnees!$K$6:$K$1000000,"12",Donnees!$F$6:$F$1000000,"FON")-SUMIFS(Donnees!$J$6:$J$1000000,Donnees!$L$6:$L$1000000,"F",Donnees!$K$6:$K$1000000,"12",Donnees!$F$6:$F$1000000,"FON")</f>
        <v>3360000</v>
      </c>
      <c r="O41" s="23">
        <f t="shared" si="13"/>
        <v>44752000</v>
      </c>
    </row>
    <row r="42" spans="2:15" ht="15" customHeight="1" x14ac:dyDescent="0.25">
      <c r="B42" s="43" t="s">
        <v>28</v>
      </c>
      <c r="C42" s="21">
        <f>SUMIFS(Donnees!$I$6:$I$1000000,Donnees!$L$6:$L$1000000,"F",Donnees!$K$6:$K$1000000,"01",Donnees!$F$6:$F$1000000,"INT")-SUMIFS(Donnees!$J$6:$J$1000000,Donnees!$L$6:$L$1000000,"F",Donnees!$K$6:$K$1000000,"01",Donnees!$F$6:$F$1000000,"INT")</f>
        <v>0</v>
      </c>
      <c r="D42" s="22">
        <f>SUMIFS(Donnees!$I$6:$I$1000000,Donnees!$L$6:$L$1000000,"F",Donnees!$K$6:$K$1000000,"02",Donnees!$F$6:$F$1000000,"INT")-SUMIFS(Donnees!$J$6:$J$1000000,Donnees!$L$6:$L$1000000,"F",Donnees!$K$6:$K$1000000,"02",Donnees!$F$6:$F$1000000,"INT")</f>
        <v>0</v>
      </c>
      <c r="E42" s="22">
        <f>SUMIFS(Donnees!$I$6:$I$1000000,Donnees!$L$6:$L$1000000,"F",Donnees!$K$6:$K$1000000,"03",Donnees!$F$6:$F$1000000,"INT")-SUMIFS(Donnees!$J$6:$J$1000000,Donnees!$L$6:$L$1000000,"F",Donnees!$K$6:$K$1000000,"03",Donnees!$F$6:$F$1000000,"INT")</f>
        <v>0</v>
      </c>
      <c r="F42" s="22">
        <f>SUMIFS(Donnees!$I$6:$I$1000000,Donnees!$L$6:$L$1000000,"F",Donnees!$K$6:$K$1000000,"04",Donnees!$F$6:$F$1000000,"INT")-SUMIFS(Donnees!$J$6:$J$1000000,Donnees!$L$6:$L$1000000,"F",Donnees!$K$6:$K$1000000,"04",Donnees!$F$6:$F$1000000,"INT")</f>
        <v>0</v>
      </c>
      <c r="G42" s="22">
        <f>SUMIFS(Donnees!$I$6:$I$1000000,Donnees!$L$6:$L$1000000,"F",Donnees!$K$6:$K$1000000,"05",Donnees!$F$6:$F$1000000,"INT")-SUMIFS(Donnees!$J$6:$J$1000000,Donnees!$L$6:$L$1000000,"F",Donnees!$K$6:$K$1000000,"05",Donnees!$F$6:$F$1000000,"INT")</f>
        <v>0</v>
      </c>
      <c r="H42" s="22">
        <f>SUMIFS(Donnees!$I$6:$I$1000000,Donnees!$L$6:$L$1000000,"F",Donnees!$K$6:$K$1000000,"06",Donnees!$F$6:$F$1000000,"INT")-SUMIFS(Donnees!$J$6:$J$1000000,Donnees!$L$6:$L$1000000,"F",Donnees!$K$6:$K$1000000,"06",Donnees!$F$6:$F$1000000,"INT")</f>
        <v>0</v>
      </c>
      <c r="I42" s="22">
        <f>SUMIFS(Donnees!$I$6:$I$1000000,Donnees!$L$6:$L$1000000,"F",Donnees!$K$6:$K$1000000,"07",Donnees!$F$6:$F$1000000,"INT")-SUMIFS(Donnees!$J$6:$J$1000000,Donnees!$L$6:$L$1000000,"F",Donnees!$K$6:$K$1000000,"07",Donnees!$F$6:$F$1000000,"INT")</f>
        <v>33000</v>
      </c>
      <c r="J42" s="22">
        <f>SUMIFS(Donnees!$I$6:$I$1000000,Donnees!$L$6:$L$1000000,"F",Donnees!$K$6:$K$1000000,"08",Donnees!$F$6:$F$1000000,"INT")-SUMIFS(Donnees!$J$6:$J$1000000,Donnees!$L$6:$L$1000000,"F",Donnees!$K$6:$K$1000000,"08",Donnees!$F$6:$F$1000000,"INT")</f>
        <v>0</v>
      </c>
      <c r="K42" s="22">
        <f>SUMIFS(Donnees!$I$6:$I$1000000,Donnees!$L$6:$L$1000000,"F",Donnees!$K$6:$K$1000000,"09",Donnees!$F$6:$F$1000000,"INT")-SUMIFS(Donnees!$J$6:$J$1000000,Donnees!$L$6:$L$1000000,"F",Donnees!$K$6:$K$1000000,"09",Donnees!$F$6:$F$1000000,"INT")</f>
        <v>0</v>
      </c>
      <c r="L42" s="22">
        <f>SUMIFS(Donnees!$I$6:$I$1000000,Donnees!$L$6:$L$1000000,"F",Donnees!$K$6:$K$1000000,"10",Donnees!$F$6:$F$1000000,"INT")-SUMIFS(Donnees!$J$6:$J$1000000,Donnees!$L$6:$L$1000000,"F",Donnees!$K$6:$K$1000000,"10",Donnees!$F$6:$F$1000000,"INT")</f>
        <v>0</v>
      </c>
      <c r="M42" s="22">
        <f>SUMIFS(Donnees!$I$6:$I$1000000,Donnees!$L$6:$L$1000000,"F",Donnees!$K$6:$K$1000000,"11",Donnees!$F$6:$F$1000000,"INT")-SUMIFS(Donnees!$J$6:$J$1000000,Donnees!$L$6:$L$1000000,"F",Donnees!$K$6:$K$1000000,"11",Donnees!$F$6:$F$1000000,"INT")</f>
        <v>0</v>
      </c>
      <c r="N42" s="22">
        <f>SUMIFS(Donnees!$I$6:$I$1000000,Donnees!$L$6:$L$1000000,"F",Donnees!$K$6:$K$1000000,"12",Donnees!$F$6:$F$1000000,"INT")-SUMIFS(Donnees!$J$6:$J$1000000,Donnees!$L$6:$L$1000000,"F",Donnees!$K$6:$K$1000000,"12",Donnees!$F$6:$F$1000000,"INT")</f>
        <v>400000</v>
      </c>
      <c r="O42" s="23">
        <f t="shared" si="13"/>
        <v>433000</v>
      </c>
    </row>
    <row r="43" spans="2:15" ht="15" customHeight="1" thickBot="1" x14ac:dyDescent="0.3">
      <c r="B43" s="44" t="s">
        <v>29</v>
      </c>
      <c r="C43" s="21">
        <f>SUMIFS(Donnees!$I$6:$I$1000000,Donnees!$L$6:$L$1000000,"F",Donnees!$K$6:$K$1000000,"01",Donnees!$F$6:$F$1000000,"INV")-SUMIFS(Donnees!$J$6:$J$1000000,Donnees!$L$6:$L$1000000,"F",Donnees!$K$6:$K$1000000,"01",Donnees!$F$6:$F$1000000,"INV")</f>
        <v>3116320</v>
      </c>
      <c r="D43" s="22">
        <f>SUMIFS(Donnees!$I$6:$I$1000000,Donnees!$L$6:$L$1000000,"F",Donnees!$K$6:$K$1000000,"02",Donnees!$F$6:$F$1000000,"INV")-SUMIFS(Donnees!$J$6:$J$1000000,Donnees!$L$6:$L$1000000,"F",Donnees!$K$6:$K$1000000,"02",Donnees!$F$6:$F$1000000,"INV")</f>
        <v>0</v>
      </c>
      <c r="E43" s="22">
        <f>SUMIFS(Donnees!$I$6:$I$1000000,Donnees!$L$6:$L$1000000,"F",Donnees!$K$6:$K$1000000,"03",Donnees!$F$6:$F$1000000,"INV")-SUMIFS(Donnees!$J$6:$J$1000000,Donnees!$L$6:$L$1000000,"F",Donnees!$K$6:$K$1000000,"03",Donnees!$F$6:$F$1000000,"INV")</f>
        <v>288000</v>
      </c>
      <c r="F43" s="22">
        <f>SUMIFS(Donnees!$I$6:$I$1000000,Donnees!$L$6:$L$1000000,"F",Donnees!$K$6:$K$1000000,"04",Donnees!$F$6:$F$1000000,"INV")-SUMIFS(Donnees!$J$6:$J$1000000,Donnees!$L$6:$L$1000000,"F",Donnees!$K$6:$K$1000000,"04",Donnees!$F$6:$F$1000000,"INV")</f>
        <v>0</v>
      </c>
      <c r="G43" s="22">
        <f>SUMIFS(Donnees!$I$6:$I$1000000,Donnees!$L$6:$L$1000000,"F",Donnees!$K$6:$K$1000000,"05",Donnees!$F$6:$F$1000000,"INV")-SUMIFS(Donnees!$J$6:$J$1000000,Donnees!$L$6:$L$1000000,"F",Donnees!$K$6:$K$1000000,"05",Donnees!$F$6:$F$1000000,"INV")</f>
        <v>0</v>
      </c>
      <c r="H43" s="22">
        <f>SUMIFS(Donnees!$I$6:$I$1000000,Donnees!$L$6:$L$1000000,"F",Donnees!$K$6:$K$1000000,"06",Donnees!$F$6:$F$1000000,"INV")-SUMIFS(Donnees!$J$6:$J$1000000,Donnees!$L$6:$L$1000000,"F",Donnees!$K$6:$K$1000000,"06",Donnees!$F$6:$F$1000000,"INV")</f>
        <v>1300000</v>
      </c>
      <c r="I43" s="22">
        <f>SUMIFS(Donnees!$I$6:$I$1000000,Donnees!$L$6:$L$1000000,"F",Donnees!$K$6:$K$1000000,"07",Donnees!$F$6:$F$1000000,"INV")-SUMIFS(Donnees!$J$6:$J$1000000,Donnees!$L$6:$L$1000000,"F",Donnees!$K$6:$K$1000000,"07",Donnees!$F$6:$F$1000000,"INV")</f>
        <v>500000</v>
      </c>
      <c r="J43" s="22">
        <f>SUMIFS(Donnees!$I$6:$I$1000000,Donnees!$L$6:$L$1000000,"F",Donnees!$K$6:$K$1000000,"08",Donnees!$F$6:$F$1000000,"INV")-SUMIFS(Donnees!$J$6:$J$1000000,Donnees!$L$6:$L$1000000,"F",Donnees!$K$6:$K$1000000,"08",Donnees!$F$6:$F$1000000,"INV")</f>
        <v>0</v>
      </c>
      <c r="K43" s="22">
        <f>SUMIFS(Donnees!$I$6:$I$1000000,Donnees!$L$6:$L$1000000,"F",Donnees!$K$6:$K$1000000,"09",Donnees!$F$6:$F$1000000,"INV")-SUMIFS(Donnees!$J$6:$J$1000000,Donnees!$L$6:$L$1000000,"F",Donnees!$K$6:$K$1000000,"09",Donnees!$F$6:$F$1000000,"INV")</f>
        <v>0</v>
      </c>
      <c r="L43" s="22">
        <f>SUMIFS(Donnees!$I$6:$I$1000000,Donnees!$L$6:$L$1000000,"F",Donnees!$K$6:$K$1000000,"10",Donnees!$F$6:$F$1000000,"INV")-SUMIFS(Donnees!$J$6:$J$1000000,Donnees!$L$6:$L$1000000,"F",Donnees!$K$6:$K$1000000,"10",Donnees!$F$6:$F$1000000,"INV")</f>
        <v>0</v>
      </c>
      <c r="M43" s="22">
        <f>SUMIFS(Donnees!$I$6:$I$1000000,Donnees!$L$6:$L$1000000,"F",Donnees!$K$6:$K$1000000,"11",Donnees!$F$6:$F$1000000,"INV")-SUMIFS(Donnees!$J$6:$J$1000000,Donnees!$L$6:$L$1000000,"F",Donnees!$K$6:$K$1000000,"11",Donnees!$F$6:$F$1000000,"INV")</f>
        <v>0</v>
      </c>
      <c r="N43" s="22">
        <f>SUMIFS(Donnees!$I$6:$I$1000000,Donnees!$L$6:$L$1000000,"F",Donnees!$K$6:$K$1000000,"12",Donnees!$F$6:$F$1000000,"INV")-SUMIFS(Donnees!$J$6:$J$1000000,Donnees!$L$6:$L$1000000,"F",Donnees!$K$6:$K$1000000,"12",Donnees!$F$6:$F$1000000,"INV")</f>
        <v>14000</v>
      </c>
      <c r="O43" s="23">
        <f t="shared" si="13"/>
        <v>5218320</v>
      </c>
    </row>
    <row r="44" spans="2:15" ht="15" customHeight="1" thickBot="1" x14ac:dyDescent="0.3">
      <c r="B44" s="17" t="s">
        <v>23</v>
      </c>
      <c r="C44" s="18">
        <f t="shared" ref="C44:I44" si="14">C45+C46+C47+C48+C52</f>
        <v>200000</v>
      </c>
      <c r="D44" s="18">
        <f t="shared" si="14"/>
        <v>15000</v>
      </c>
      <c r="E44" s="18">
        <f t="shared" si="14"/>
        <v>24000</v>
      </c>
      <c r="F44" s="18">
        <f t="shared" si="14"/>
        <v>0</v>
      </c>
      <c r="G44" s="18">
        <f t="shared" si="14"/>
        <v>588000</v>
      </c>
      <c r="H44" s="18">
        <f t="shared" si="14"/>
        <v>74000</v>
      </c>
      <c r="I44" s="18">
        <f t="shared" si="14"/>
        <v>0</v>
      </c>
      <c r="J44" s="18">
        <f t="shared" ref="J44:O44" si="15">J45+J46+J47+J48+J52</f>
        <v>16600</v>
      </c>
      <c r="K44" s="18">
        <f t="shared" si="15"/>
        <v>0</v>
      </c>
      <c r="L44" s="18">
        <f t="shared" si="15"/>
        <v>0</v>
      </c>
      <c r="M44" s="18">
        <f t="shared" si="15"/>
        <v>470000</v>
      </c>
      <c r="N44" s="18">
        <f t="shared" si="15"/>
        <v>15000</v>
      </c>
      <c r="O44" s="18">
        <f t="shared" si="15"/>
        <v>1402600</v>
      </c>
    </row>
    <row r="45" spans="2:15" x14ac:dyDescent="0.25">
      <c r="B45" s="43" t="s">
        <v>69</v>
      </c>
      <c r="C45" s="21">
        <f>SUMIFS(Donnees!$I$6:$I$1000000,Donnees!$K$6:$K$1000000,"01",Donnees!$F$6:$F$1000000,"EMR")-SUMIFS(Donnees!$J$6:$J$1000000,Donnees!$K$6:$K$1000000,"01",Donnees!$F$6:$F$1000000,"EMR")</f>
        <v>200000</v>
      </c>
      <c r="D45" s="22">
        <f>SUMIFS(Donnees!$I$6:$I$1000000,Donnees!$K$6:$K$1000000,"02",Donnees!$F$6:$F$1000000,"EMR")-SUMIFS(Donnees!$J$6:$J$1000000,Donnees!$K$6:$K$1000000,"02",Donnees!$F$6:$F$1000000,"EMR")</f>
        <v>0</v>
      </c>
      <c r="E45" s="22">
        <f>SUMIFS(Donnees!$I$6:$I$1000000,Donnees!$K$6:$K$1000000,"03",Donnees!$F$6:$F$1000000,"EMR")-SUMIFS(Donnees!$J$6:$J$1000000,Donnees!$K$6:$K$1000000,"03",Donnees!$F$6:$F$1000000,"EMR")</f>
        <v>0</v>
      </c>
      <c r="F45" s="22">
        <f>SUMIFS(Donnees!$I$6:$I$1000000,Donnees!$K$6:$K$1000000,"04",Donnees!$F$6:$F$1000000,"EMR")-SUMIFS(Donnees!$J$6:$J$1000000,Donnees!$K$6:$K$1000000,"04",Donnees!$F$6:$F$1000000,"EMR")</f>
        <v>0</v>
      </c>
      <c r="G45" s="22">
        <f>SUMIFS(Donnees!$I$6:$I$1000000,Donnees!$K$6:$K$1000000,"05",Donnees!$F$6:$F$1000000,"EMR")-SUMIFS(Donnees!$J$6:$J$1000000,Donnees!$K$6:$K$1000000,"05",Donnees!$F$6:$F$1000000,"EMR")</f>
        <v>580000</v>
      </c>
      <c r="H45" s="22">
        <f>SUMIFS(Donnees!$I$6:$I$1000000,Donnees!$K$6:$K$1000000,"06",Donnees!$F$6:$F$1000000,"EMR")-SUMIFS(Donnees!$J$6:$J$1000000,Donnees!$K$6:$K$1000000,"06",Donnees!$F$6:$F$1000000,"EMR")</f>
        <v>0</v>
      </c>
      <c r="I45" s="22">
        <f>SUMIFS(Donnees!$I$6:$I$1000000,Donnees!$K$6:$K$1000000,"07",Donnees!$F$6:$F$1000000,"EMR")-SUMIFS(Donnees!$J$6:$J$1000000,Donnees!$K$6:$K$1000000,"07",Donnees!$F$6:$F$1000000,"EMR")</f>
        <v>0</v>
      </c>
      <c r="J45" s="22">
        <f>SUMIFS(Donnees!$I$6:$I$1000000,Donnees!$K$6:$K$1000000,"08",Donnees!$F$6:$F$1000000,"EMR")-SUMIFS(Donnees!$J$6:$J$1000000,Donnees!$K$6:$K$1000000,"08",Donnees!$F$6:$F$1000000,"EMR")</f>
        <v>0</v>
      </c>
      <c r="K45" s="22">
        <f>SUMIFS(Donnees!$I$6:$I$1000000,Donnees!$K$6:$K$1000000,"09",Donnees!$F$6:$F$1000000,"EMR")-SUMIFS(Donnees!$J$6:$J$1000000,Donnees!$K$6:$K$1000000,"09",Donnees!$F$6:$F$1000000,"EMR")</f>
        <v>0</v>
      </c>
      <c r="L45" s="22">
        <f>SUMIFS(Donnees!$I$6:$I$1000000,Donnees!$K$6:$K$1000000,"10",Donnees!$F$6:$F$1000000,"EMR")-SUMIFS(Donnees!$J$6:$J$1000000,Donnees!$K$6:$K$1000000,"10",Donnees!$F$6:$F$1000000,"EMR")</f>
        <v>0</v>
      </c>
      <c r="M45" s="22">
        <f>SUMIFS(Donnees!$I$6:$I$1000000,Donnees!$K$6:$K$1000000,"11",Donnees!$F$6:$F$1000000,"EMR")-SUMIFS(Donnees!$J$6:$J$1000000,Donnees!$K$6:$K$1000000,"11",Donnees!$F$6:$F$1000000,"EMR")</f>
        <v>420000</v>
      </c>
      <c r="N45" s="22">
        <f>SUMIFS(Donnees!$I$6:$I$1000000,Donnees!$K$6:$K$1000000,"12",Donnees!$F$6:$F$1000000,"EMR")-SUMIFS(Donnees!$J$6:$J$1000000,Donnees!$K$6:$K$1000000,"12",Donnees!$F$6:$F$1000000,"EMR")</f>
        <v>0</v>
      </c>
      <c r="O45" s="23">
        <f t="shared" ref="O45" si="16">SUM(C45:N45)</f>
        <v>1200000</v>
      </c>
    </row>
    <row r="46" spans="2:15" x14ac:dyDescent="0.25">
      <c r="B46" s="43" t="s">
        <v>70</v>
      </c>
      <c r="C46" s="21">
        <f>SUMIFS(Donnees!$I$6:$I$1000000,Donnees!$K$6:$K$1000000,"01",Donnees!$F$6:$F$1000000,"PRR")-SUMIFS(Donnees!$J$6:$J$1000000,Donnees!$K$6:$K$1000000,"01",Donnees!$F$6:$F$1000000,"PRR")</f>
        <v>0</v>
      </c>
      <c r="D46" s="22">
        <f>SUMIFS(Donnees!$I$6:$I$1000000,Donnees!$K$6:$K$1000000,"02",Donnees!$F$6:$F$1000000,"PRR")-SUMIFS(Donnees!$J$6:$J$1000000,Donnees!$K$6:$K$1000000,"02",Donnees!$F$6:$F$1000000,"PRR")</f>
        <v>15000</v>
      </c>
      <c r="E46" s="22">
        <f>SUMIFS(Donnees!$I$6:$I$1000000,Donnees!$K$6:$K$1000000,"03",Donnees!$F$6:$F$1000000,"PRR")-SUMIFS(Donnees!$J$6:$J$1000000,Donnees!$K$6:$K$1000000,"03",Donnees!$F$6:$F$1000000,"PRR")</f>
        <v>20000</v>
      </c>
      <c r="F46" s="22">
        <f>SUMIFS(Donnees!$I$6:$I$1000000,Donnees!$K$6:$K$1000000,"04",Donnees!$F$6:$F$1000000,"PRR")-SUMIFS(Donnees!$J$6:$J$1000000,Donnees!$K$6:$K$1000000,"04",Donnees!$F$6:$F$1000000,"PRR")</f>
        <v>0</v>
      </c>
      <c r="G46" s="22">
        <f>SUMIFS(Donnees!$I$6:$I$1000000,Donnees!$K$6:$K$1000000,"05",Donnees!$F$6:$F$1000000,"PRR")-SUMIFS(Donnees!$J$6:$J$1000000,Donnees!$K$6:$K$1000000,"05",Donnees!$F$6:$F$1000000,"PRR")</f>
        <v>0</v>
      </c>
      <c r="H46" s="22">
        <f>SUMIFS(Donnees!$I$6:$I$1000000,Donnees!$K$6:$K$1000000,"06",Donnees!$F$6:$F$1000000,"PRR")-SUMIFS(Donnees!$J$6:$J$1000000,Donnees!$K$6:$K$1000000,"06",Donnees!$F$6:$F$1000000,"PRR")</f>
        <v>0</v>
      </c>
      <c r="I46" s="22">
        <f>SUMIFS(Donnees!$I$6:$I$1000000,Donnees!$K$6:$K$1000000,"07",Donnees!$F$6:$F$1000000,"PRR")-SUMIFS(Donnees!$J$6:$J$1000000,Donnees!$K$6:$K$1000000,"07",Donnees!$F$6:$F$1000000,"PRR")</f>
        <v>0</v>
      </c>
      <c r="J46" s="22">
        <f>SUMIFS(Donnees!$I$6:$I$1000000,Donnees!$K$6:$K$1000000,"08",Donnees!$F$6:$F$1000000,"PRR")-SUMIFS(Donnees!$J$6:$J$1000000,Donnees!$K$6:$K$1000000,"08",Donnees!$F$6:$F$1000000,"PRR")</f>
        <v>0</v>
      </c>
      <c r="K46" s="22">
        <f>SUMIFS(Donnees!$I$6:$I$1000000,Donnees!$K$6:$K$1000000,"09",Donnees!$F$6:$F$1000000,"PRR")-SUMIFS(Donnees!$J$6:$J$1000000,Donnees!$K$6:$K$1000000,"09",Donnees!$F$6:$F$1000000,"PRR")</f>
        <v>0</v>
      </c>
      <c r="L46" s="22">
        <f>SUMIFS(Donnees!$I$6:$I$1000000,Donnees!$K$6:$K$1000000,"10",Donnees!$F$6:$F$1000000,"PRR")-SUMIFS(Donnees!$J$6:$J$1000000,Donnees!$K$6:$K$1000000,"10",Donnees!$F$6:$F$1000000,"PRR")</f>
        <v>0</v>
      </c>
      <c r="M46" s="22">
        <f>SUMIFS(Donnees!$I$6:$I$1000000,Donnees!$K$6:$K$1000000,"11",Donnees!$F$6:$F$1000000,"PRR")-SUMIFS(Donnees!$J$6:$J$1000000,Donnees!$K$6:$K$1000000,"11",Donnees!$F$6:$F$1000000,"PRR")</f>
        <v>0</v>
      </c>
      <c r="N46" s="22">
        <f>SUMIFS(Donnees!$I$6:$I$1000000,Donnees!$K$6:$K$1000000,"12",Donnees!$F$6:$F$1000000,"PRR")-SUMIFS(Donnees!$J$6:$J$1000000,Donnees!$K$6:$K$1000000,"12",Donnees!$F$6:$F$1000000,"PRR")</f>
        <v>0</v>
      </c>
      <c r="O46" s="23">
        <f t="shared" ref="O46:O47" si="17">SUM(C46:N46)</f>
        <v>35000</v>
      </c>
    </row>
    <row r="47" spans="2:15" ht="15.75" thickBot="1" x14ac:dyDescent="0.3">
      <c r="B47" s="43" t="s">
        <v>68</v>
      </c>
      <c r="C47" s="21">
        <f>SUMIFS(Donnees!$I$6:$I$1000000,Donnees!$K$6:$K$1000000,"01",Donnees!$F$6:$F$1000000,"DER")-SUMIFS(Donnees!$J$6:$J$1000000,Donnees!$K$6:$K$1000000,"01",Donnees!$F$6:$F$1000000,"DER")</f>
        <v>0</v>
      </c>
      <c r="D47" s="22">
        <f>SUMIFS(Donnees!$I$6:$I$1000000,Donnees!$K$6:$K$1000000,"02",Donnees!$F$6:$F$1000000,"DER")-SUMIFS(Donnees!$J$6:$J$1000000,Donnees!$K$6:$K$1000000,"02",Donnees!$F$6:$F$1000000,"DER")</f>
        <v>0</v>
      </c>
      <c r="E47" s="22">
        <f>SUMIFS(Donnees!$I$6:$I$1000000,Donnees!$K$6:$K$1000000,"03",Donnees!$F$6:$F$1000000,"DER")-SUMIFS(Donnees!$J$6:$J$1000000,Donnees!$K$6:$K$1000000,"03",Donnees!$F$6:$F$1000000,"DER")</f>
        <v>0</v>
      </c>
      <c r="F47" s="22">
        <f>SUMIFS(Donnees!$I$6:$I$1000000,Donnees!$K$6:$K$1000000,"04",Donnees!$F$6:$F$1000000,"DER")-SUMIFS(Donnees!$J$6:$J$1000000,Donnees!$K$6:$K$1000000,"04",Donnees!$F$6:$F$1000000,"DER")</f>
        <v>0</v>
      </c>
      <c r="G47" s="22">
        <f>SUMIFS(Donnees!$I$6:$I$1000000,Donnees!$K$6:$K$1000000,"05",Donnees!$F$6:$F$1000000,"DER")-SUMIFS(Donnees!$J$6:$J$1000000,Donnees!$K$6:$K$1000000,"05",Donnees!$F$6:$F$1000000,"DER")</f>
        <v>0</v>
      </c>
      <c r="H47" s="22">
        <f>SUMIFS(Donnees!$I$6:$I$1000000,Donnees!$K$6:$K$1000000,"06",Donnees!$F$6:$F$1000000,"DER")-SUMIFS(Donnees!$J$6:$J$1000000,Donnees!$K$6:$K$1000000,"06",Donnees!$F$6:$F$1000000,"DER")</f>
        <v>24000</v>
      </c>
      <c r="I47" s="22">
        <f>SUMIFS(Donnees!$I$6:$I$1000000,Donnees!$K$6:$K$1000000,"07",Donnees!$F$6:$F$1000000,"DER")-SUMIFS(Donnees!$J$6:$J$1000000,Donnees!$K$6:$K$1000000,"07",Donnees!$F$6:$F$1000000,"DER")</f>
        <v>0</v>
      </c>
      <c r="J47" s="22">
        <f>SUMIFS(Donnees!$I$6:$I$1000000,Donnees!$K$6:$K$1000000,"08",Donnees!$F$6:$F$1000000,"DER")-SUMIFS(Donnees!$J$6:$J$1000000,Donnees!$K$6:$K$1000000,"08",Donnees!$F$6:$F$1000000,"DER")</f>
        <v>0</v>
      </c>
      <c r="K47" s="22">
        <f>SUMIFS(Donnees!$I$6:$I$1000000,Donnees!$K$6:$K$1000000,"09",Donnees!$F$6:$F$1000000,"DER")-SUMIFS(Donnees!$J$6:$J$1000000,Donnees!$K$6:$K$1000000,"09",Donnees!$F$6:$F$1000000,"DER")</f>
        <v>0</v>
      </c>
      <c r="L47" s="22">
        <f>SUMIFS(Donnees!$I$6:$I$1000000,Donnees!$K$6:$K$1000000,"10",Donnees!$F$6:$F$1000000,"DER")-SUMIFS(Donnees!$J$6:$J$1000000,Donnees!$K$6:$K$1000000,"10",Donnees!$F$6:$F$1000000,"DER")</f>
        <v>0</v>
      </c>
      <c r="M47" s="22">
        <f>SUMIFS(Donnees!$I$6:$I$1000000,Donnees!$K$6:$K$1000000,"11",Donnees!$F$6:$F$1000000,"DER")-SUMIFS(Donnees!$J$6:$J$1000000,Donnees!$K$6:$K$1000000,"11",Donnees!$F$6:$F$1000000,"DER")</f>
        <v>0</v>
      </c>
      <c r="N47" s="22">
        <f>SUMIFS(Donnees!$I$6:$I$1000000,Donnees!$K$6:$K$1000000,"12",Donnees!$F$6:$F$1000000,"DER")-SUMIFS(Donnees!$J$6:$J$1000000,Donnees!$K$6:$K$1000000,"12",Donnees!$F$6:$F$1000000,"DER")</f>
        <v>0</v>
      </c>
      <c r="O47" s="23">
        <f t="shared" si="17"/>
        <v>24000</v>
      </c>
    </row>
    <row r="48" spans="2:15" ht="15" customHeight="1" thickBot="1" x14ac:dyDescent="0.3">
      <c r="B48" s="52" t="s">
        <v>74</v>
      </c>
      <c r="C48" s="18">
        <f t="shared" ref="C48:O48" si="18">SUM(C49:C51)</f>
        <v>0</v>
      </c>
      <c r="D48" s="19">
        <f t="shared" si="18"/>
        <v>0</v>
      </c>
      <c r="E48" s="19">
        <f t="shared" si="18"/>
        <v>4000</v>
      </c>
      <c r="F48" s="19">
        <f t="shared" si="18"/>
        <v>0</v>
      </c>
      <c r="G48" s="19">
        <f t="shared" si="18"/>
        <v>0</v>
      </c>
      <c r="H48" s="19">
        <f t="shared" si="18"/>
        <v>50000</v>
      </c>
      <c r="I48" s="19">
        <f t="shared" si="18"/>
        <v>0</v>
      </c>
      <c r="J48" s="19">
        <f t="shared" si="18"/>
        <v>4300</v>
      </c>
      <c r="K48" s="19">
        <f t="shared" si="18"/>
        <v>0</v>
      </c>
      <c r="L48" s="19">
        <f t="shared" si="18"/>
        <v>0</v>
      </c>
      <c r="M48" s="19">
        <f t="shared" si="18"/>
        <v>50000</v>
      </c>
      <c r="N48" s="19">
        <f t="shared" si="18"/>
        <v>0</v>
      </c>
      <c r="O48" s="20">
        <f t="shared" si="18"/>
        <v>108300</v>
      </c>
    </row>
    <row r="49" spans="2:15" ht="15" customHeight="1" x14ac:dyDescent="0.25">
      <c r="B49" s="45" t="s">
        <v>79</v>
      </c>
      <c r="C49" s="21">
        <f>SUMIFS(Donnees!$I$6:$I$1000000,Donnees!$K$6:$K$1000000,"01",Donnees!$F$6:$F$1000000,"FISKD")-SUMIFS(Donnees!$J$6:$J$1000000,Donnees!$K$6:$K$1000000,"01",Donnees!$F$6:$F$1000000,"FISKD")
+SUMIFS(Donnees!$I$6:$I$1000000,Donnees!$K$6:$K$1000000,"01",Donnees!$F$6:$F$1000000,"TVAD")-SUMIFS(Donnees!$J$6:$J$1000000,Donnees!$K$6:$K$1000000,"01",Donnees!$F$6:$F$1000000,"TVAD")</f>
        <v>0</v>
      </c>
      <c r="D49" s="22">
        <f>SUMIFS(Donnees!$I$6:$I$1000000,Donnees!$K$6:$K$1000000,"02",Donnees!$F$6:$F$1000000,"FISKD")-SUMIFS(Donnees!$J$6:$J$1000000,Donnees!$K$6:$K$1000000,"02",Donnees!$F$6:$F$1000000,"FISKD")
+SUMIFS(Donnees!$I$6:$I$1000000,Donnees!$K$6:$K$1000000,"02",Donnees!$F$6:$F$1000000,"TVAD")-SUMIFS(Donnees!$J$6:$J$1000000,Donnees!$K$6:$K$1000000,"02",Donnees!$F$6:$F$1000000,"TVAD")</f>
        <v>0</v>
      </c>
      <c r="E49" s="22">
        <f>SUMIFS(Donnees!$I$6:$I$1000000,Donnees!$K$6:$K$1000000,"03",Donnees!$F$6:$F$1000000,"FISKD")-SUMIFS(Donnees!$J$6:$J$1000000,Donnees!$K$6:$K$1000000,"03",Donnees!$F$6:$F$1000000,"FISKD")
+SUMIFS(Donnees!$I$6:$I$1000000,Donnees!$K$6:$K$1000000,"03",Donnees!$F$6:$F$1000000,"TVAD")-SUMIFS(Donnees!$J$6:$J$1000000,Donnees!$K$6:$K$1000000,"03",Donnees!$F$6:$F$1000000,"TVAD")</f>
        <v>4000</v>
      </c>
      <c r="F49" s="22">
        <f>SUMIFS(Donnees!$I$6:$I$1000000,Donnees!$K$6:$K$1000000,"04",Donnees!$F$6:$F$1000000,"FISKD")-SUMIFS(Donnees!$J$6:$J$1000000,Donnees!$K$6:$K$1000000,"04",Donnees!$F$6:$F$1000000,"FISKD")
+SUMIFS(Donnees!$I$6:$I$1000000,Donnees!$K$6:$K$1000000,"04",Donnees!$F$6:$F$1000000,"TVAD")-SUMIFS(Donnees!$J$6:$J$1000000,Donnees!$K$6:$K$1000000,"04",Donnees!$F$6:$F$1000000,"TVAD")</f>
        <v>0</v>
      </c>
      <c r="G49" s="22">
        <f>SUMIFS(Donnees!$I$6:$I$1000000,Donnees!$K$6:$K$1000000,"05",Donnees!$F$6:$F$1000000,"FISKD")-SUMIFS(Donnees!$J$6:$J$1000000,Donnees!$K$6:$K$1000000,"05",Donnees!$F$6:$F$1000000,"FISKD")
+SUMIFS(Donnees!$I$6:$I$1000000,Donnees!$K$6:$K$1000000,"05",Donnees!$F$6:$F$1000000,"TVAD")-SUMIFS(Donnees!$J$6:$J$1000000,Donnees!$K$6:$K$1000000,"05",Donnees!$F$6:$F$1000000,"TVAD")</f>
        <v>0</v>
      </c>
      <c r="H49" s="22">
        <f>SUMIFS(Donnees!$I$6:$I$1000000,Donnees!$K$6:$K$1000000,"06",Donnees!$F$6:$F$1000000,"FISKD")-SUMIFS(Donnees!$J$6:$J$1000000,Donnees!$K$6:$K$1000000,"06",Donnees!$F$6:$F$1000000,"FISKD")
+SUMIFS(Donnees!$I$6:$I$1000000,Donnees!$K$6:$K$1000000,"06",Donnees!$F$6:$F$1000000,"TVAD")-SUMIFS(Donnees!$J$6:$J$1000000,Donnees!$K$6:$K$1000000,"06",Donnees!$F$6:$F$1000000,"TVAD")</f>
        <v>0</v>
      </c>
      <c r="I49" s="22">
        <f>SUMIFS(Donnees!$I$6:$I$1000000,Donnees!$K$6:$K$1000000,"07",Donnees!$F$6:$F$1000000,"FISKD")-SUMIFS(Donnees!$J$6:$J$1000000,Donnees!$K$6:$K$1000000,"07",Donnees!$F$6:$F$1000000,"FISKD")
+SUMIFS(Donnees!$I$6:$I$1000000,Donnees!$K$6:$K$1000000,"07",Donnees!$F$6:$F$1000000,"TVAD")-SUMIFS(Donnees!$J$6:$J$1000000,Donnees!$K$6:$K$1000000,"07",Donnees!$F$6:$F$1000000,"TVAD")</f>
        <v>0</v>
      </c>
      <c r="J49" s="22">
        <f>SUMIFS(Donnees!$I$6:$I$1000000,Donnees!$K$6:$K$1000000,"08",Donnees!$F$6:$F$1000000,"FISKD")-SUMIFS(Donnees!$J$6:$J$1000000,Donnees!$K$6:$K$1000000,"08",Donnees!$F$6:$F$1000000,"FISKD")
+SUMIFS(Donnees!$I$6:$I$1000000,Donnees!$K$6:$K$1000000,"08",Donnees!$F$6:$F$1000000,"TVAD")-SUMIFS(Donnees!$J$6:$J$1000000,Donnees!$K$6:$K$1000000,"08",Donnees!$F$6:$F$1000000,"TVAD")</f>
        <v>4300</v>
      </c>
      <c r="K49" s="22">
        <f>SUMIFS(Donnees!$I$6:$I$1000000,Donnees!$K$6:$K$1000000,"09",Donnees!$F$6:$F$1000000,"FISKD")-SUMIFS(Donnees!$J$6:$J$1000000,Donnees!$K$6:$K$1000000,"09",Donnees!$F$6:$F$1000000,"FISKD")
+SUMIFS(Donnees!$I$6:$I$1000000,Donnees!$K$6:$K$1000000,"09",Donnees!$F$6:$F$1000000,"TVAD")-SUMIFS(Donnees!$J$6:$J$1000000,Donnees!$K$6:$K$1000000,"09",Donnees!$F$6:$F$1000000,"TVAD")</f>
        <v>0</v>
      </c>
      <c r="L49" s="22">
        <f>SUMIFS(Donnees!$I$6:$I$1000000,Donnees!$K$6:$K$1000000,"10",Donnees!$F$6:$F$1000000,"FISKD")-SUMIFS(Donnees!$J$6:$J$1000000,Donnees!$K$6:$K$1000000,"10",Donnees!$F$6:$F$1000000,"FISKD")
+SUMIFS(Donnees!$I$6:$I$1000000,Donnees!$K$6:$K$1000000,"10",Donnees!$F$6:$F$1000000,"TVAD")-SUMIFS(Donnees!$J$6:$J$1000000,Donnees!$K$6:$K$1000000,"10",Donnees!$F$6:$F$1000000,"TVAD")</f>
        <v>0</v>
      </c>
      <c r="M49" s="22">
        <f>SUMIFS(Donnees!$I$6:$I$1000000,Donnees!$K$6:$K$1000000,"11",Donnees!$F$6:$F$1000000,"FISKD")-SUMIFS(Donnees!$J$6:$J$1000000,Donnees!$K$6:$K$1000000,"11",Donnees!$F$6:$F$1000000,"FISKD")
+SUMIFS(Donnees!$I$6:$I$1000000,Donnees!$K$6:$K$1000000,"11",Donnees!$F$6:$F$1000000,"TVAD")-SUMIFS(Donnees!$J$6:$J$1000000,Donnees!$K$6:$K$1000000,"11",Donnees!$F$6:$F$1000000,"TVAD")</f>
        <v>0</v>
      </c>
      <c r="N49" s="22">
        <f>SUMIFS(Donnees!$I$6:$I$1000000,Donnees!$K$6:$K$1000000,"12",Donnees!$F$6:$F$1000000,"FISKD")-SUMIFS(Donnees!$J$6:$J$1000000,Donnees!$K$6:$K$1000000,"12",Donnees!$F$6:$F$1000000,"FISKD")
+SUMIFS(Donnees!$I$6:$I$1000000,Donnees!$K$6:$K$1000000,"12",Donnees!$F$6:$F$1000000,"TVAD")-SUMIFS(Donnees!$J$6:$J$1000000,Donnees!$K$6:$K$1000000,"12",Donnees!$F$6:$F$1000000,"TVAD")</f>
        <v>0</v>
      </c>
      <c r="O49" s="23">
        <f t="shared" ref="O49:O52" si="19">SUM(C49:N49)</f>
        <v>8300</v>
      </c>
    </row>
    <row r="50" spans="2:15" ht="15" customHeight="1" x14ac:dyDescent="0.25">
      <c r="B50" s="46" t="s">
        <v>80</v>
      </c>
      <c r="C50" s="21">
        <f>SUMIFS(Donnees!$I$6:$I$1000000,Donnees!$K$6:$K$1000000,"01",Donnees!$F$6:$F$1000000,"OTD")-SUMIFS(Donnees!$J$6:$J$1000000,Donnees!$K$6:$K$1000000,"01",Donnees!$F$6:$F$1000000,"OTD")</f>
        <v>0</v>
      </c>
      <c r="D50" s="22">
        <f>SUMIFS(Donnees!$I$6:$I$1000000,Donnees!$K$6:$K$1000000,"02",Donnees!$F$6:$F$1000000,"OTD")-SUMIFS(Donnees!$J$6:$J$1000000,Donnees!$K$6:$K$1000000,"02",Donnees!$F$6:$F$1000000,"OTD")</f>
        <v>0</v>
      </c>
      <c r="E50" s="22">
        <f>SUMIFS(Donnees!$I$6:$I$1000000,Donnees!$K$6:$K$1000000,"03",Donnees!$F$6:$F$1000000,"OTD")-SUMIFS(Donnees!$J$6:$J$1000000,Donnees!$K$6:$K$1000000,"03",Donnees!$F$6:$F$1000000,"OTD")</f>
        <v>0</v>
      </c>
      <c r="F50" s="22">
        <f>SUMIFS(Donnees!$I$6:$I$1000000,Donnees!$K$6:$K$1000000,"04",Donnees!$F$6:$F$1000000,"OTD")-SUMIFS(Donnees!$J$6:$J$1000000,Donnees!$K$6:$K$1000000,"04",Donnees!$F$6:$F$1000000,"OTD")</f>
        <v>0</v>
      </c>
      <c r="G50" s="22">
        <f>SUMIFS(Donnees!$I$6:$I$1000000,Donnees!$K$6:$K$1000000,"05",Donnees!$F$6:$F$1000000,"OTD")-SUMIFS(Donnees!$J$6:$J$1000000,Donnees!$K$6:$K$1000000,"05",Donnees!$F$6:$F$1000000,"OTD")</f>
        <v>0</v>
      </c>
      <c r="H50" s="22">
        <f>SUMIFS(Donnees!$I$6:$I$1000000,Donnees!$K$6:$K$1000000,"06",Donnees!$F$6:$F$1000000,"OTD")-SUMIFS(Donnees!$J$6:$J$1000000,Donnees!$K$6:$K$1000000,"06",Donnees!$F$6:$F$1000000,"OTD")</f>
        <v>50000</v>
      </c>
      <c r="I50" s="22">
        <f>SUMIFS(Donnees!$I$6:$I$1000000,Donnees!$K$6:$K$1000000,"07",Donnees!$F$6:$F$1000000,"OTD")-SUMIFS(Donnees!$J$6:$J$1000000,Donnees!$K$6:$K$1000000,"07",Donnees!$F$6:$F$1000000,"OTD")</f>
        <v>0</v>
      </c>
      <c r="J50" s="22">
        <f>SUMIFS(Donnees!$I$6:$I$1000000,Donnees!$K$6:$K$1000000,"08",Donnees!$F$6:$F$1000000,"OTD")-SUMIFS(Donnees!$J$6:$J$1000000,Donnees!$K$6:$K$1000000,"08",Donnees!$F$6:$F$1000000,"OTD")</f>
        <v>0</v>
      </c>
      <c r="K50" s="22">
        <f>SUMIFS(Donnees!$I$6:$I$1000000,Donnees!$K$6:$K$1000000,"09",Donnees!$F$6:$F$1000000,"OTD")-SUMIFS(Donnees!$J$6:$J$1000000,Donnees!$K$6:$K$1000000,"09",Donnees!$F$6:$F$1000000,"OTD")</f>
        <v>0</v>
      </c>
      <c r="L50" s="22">
        <f>SUMIFS(Donnees!$I$6:$I$1000000,Donnees!$K$6:$K$1000000,"10",Donnees!$F$6:$F$1000000,"OTD")-SUMIFS(Donnees!$J$6:$J$1000000,Donnees!$K$6:$K$1000000,"10",Donnees!$F$6:$F$1000000,"OTD")</f>
        <v>0</v>
      </c>
      <c r="M50" s="22">
        <f>SUMIFS(Donnees!$I$6:$I$1000000,Donnees!$K$6:$K$1000000,"11",Donnees!$F$6:$F$1000000,"OTD")-SUMIFS(Donnees!$J$6:$J$1000000,Donnees!$K$6:$K$1000000,"11",Donnees!$F$6:$F$1000000,"OTD")</f>
        <v>50000</v>
      </c>
      <c r="N50" s="22">
        <f>SUMIFS(Donnees!$I$6:$I$1000000,Donnees!$K$6:$K$1000000,"12",Donnees!$F$6:$F$1000000,"OTD")-SUMIFS(Donnees!$J$6:$J$1000000,Donnees!$K$6:$K$1000000,"12",Donnees!$F$6:$F$1000000,"OTD")</f>
        <v>0</v>
      </c>
      <c r="O50" s="23">
        <f t="shared" si="19"/>
        <v>100000</v>
      </c>
    </row>
    <row r="51" spans="2:15" ht="15" customHeight="1" thickBot="1" x14ac:dyDescent="0.3">
      <c r="B51" s="47" t="s">
        <v>78</v>
      </c>
      <c r="C51" s="22">
        <f>SUMIFS(Donnees!$I$6:$I$1000000,Donnees!$K$6:$K$1000000,"01",Donnees!$F$6:$F$1000000,"ATD")-SUMIFS(Donnees!$J$6:$J$1000000,Donnees!$K$6:$K$1000000,"01",Donnees!$F$6:$F$1000000,"ATD")</f>
        <v>0</v>
      </c>
      <c r="D51" s="22">
        <f>SUMIFS(Donnees!$I$6:$I$1000000,Donnees!$K$6:$K$1000000,"02",Donnees!$F$6:$F$1000000,"ATD")-SUMIFS(Donnees!$J$6:$J$1000000,Donnees!$K$6:$K$1000000,"02",Donnees!$F$6:$F$1000000,"ATD")</f>
        <v>0</v>
      </c>
      <c r="E51" s="22">
        <f>SUMIFS(Donnees!$I$6:$I$1000000,Donnees!$K$6:$K$1000000,"03",Donnees!$F$6:$F$1000000,"ATD")-SUMIFS(Donnees!$J$6:$J$1000000,Donnees!$K$6:$K$1000000,"03",Donnees!$F$6:$F$1000000,"ATD")</f>
        <v>0</v>
      </c>
      <c r="F51" s="22">
        <f>SUMIFS(Donnees!$I$6:$I$1000000,Donnees!$K$6:$K$1000000,"04",Donnees!$F$6:$F$1000000,"ATD")-SUMIFS(Donnees!$J$6:$J$1000000,Donnees!$K$6:$K$1000000,"04",Donnees!$F$6:$F$1000000,"ATD")</f>
        <v>0</v>
      </c>
      <c r="G51" s="22">
        <f>SUMIFS(Donnees!$I$6:$I$1000000,Donnees!$K$6:$K$1000000,"05",Donnees!$F$6:$F$1000000,"ATD")-SUMIFS(Donnees!$J$6:$J$1000000,Donnees!$K$6:$K$1000000,"05",Donnees!$F$6:$F$1000000,"ATD")</f>
        <v>0</v>
      </c>
      <c r="H51" s="22">
        <f>SUMIFS(Donnees!$I$6:$I$1000000,Donnees!$K$6:$K$1000000,"06",Donnees!$F$6:$F$1000000,"ATD")-SUMIFS(Donnees!$J$6:$J$1000000,Donnees!$K$6:$K$1000000,"06",Donnees!$F$6:$F$1000000,"ATD")</f>
        <v>0</v>
      </c>
      <c r="I51" s="22">
        <f>SUMIFS(Donnees!$I$6:$I$1000000,Donnees!$K$6:$K$1000000,"07",Donnees!$F$6:$F$1000000,"ATD")-SUMIFS(Donnees!$J$6:$J$1000000,Donnees!$K$6:$K$1000000,"07",Donnees!$F$6:$F$1000000,"ATD")</f>
        <v>0</v>
      </c>
      <c r="J51" s="22">
        <f>SUMIFS(Donnees!$I$6:$I$1000000,Donnees!$K$6:$K$1000000,"08",Donnees!$F$6:$F$1000000,"ATD")-SUMIFS(Donnees!$J$6:$J$1000000,Donnees!$K$6:$K$1000000,"08",Donnees!$F$6:$F$1000000,"ATD")</f>
        <v>0</v>
      </c>
      <c r="K51" s="22">
        <f>SUMIFS(Donnees!$I$6:$I$1000000,Donnees!$K$6:$K$1000000,"09",Donnees!$F$6:$F$1000000,"ATD")-SUMIFS(Donnees!$J$6:$J$1000000,Donnees!$K$6:$K$1000000,"09",Donnees!$F$6:$F$1000000,"ATD")</f>
        <v>0</v>
      </c>
      <c r="L51" s="22">
        <f>SUMIFS(Donnees!$I$6:$I$1000000,Donnees!$K$6:$K$1000000,"10",Donnees!$F$6:$F$1000000,"ATD")-SUMIFS(Donnees!$J$6:$J$1000000,Donnees!$K$6:$K$1000000,"10",Donnees!$F$6:$F$1000000,"ATD")</f>
        <v>0</v>
      </c>
      <c r="M51" s="22">
        <f>SUMIFS(Donnees!$I$6:$I$1000000,Donnees!$K$6:$K$1000000,"11",Donnees!$F$6:$F$1000000,"ATD")-SUMIFS(Donnees!$J$6:$J$1000000,Donnees!$K$6:$K$1000000,"11",Donnees!$F$6:$F$1000000,"ATD")</f>
        <v>0</v>
      </c>
      <c r="N51" s="22">
        <f>SUMIFS(Donnees!$I$6:$I$1000000,Donnees!$K$6:$K$1000000,"12",Donnees!$F$6:$F$1000000,"ATD")-SUMIFS(Donnees!$J$6:$J$1000000,Donnees!$K$6:$K$1000000,"12",Donnees!$F$6:$F$1000000,"ATD")</f>
        <v>0</v>
      </c>
      <c r="O51" s="23">
        <f t="shared" ref="O51" si="20">SUM(C51:N51)</f>
        <v>0</v>
      </c>
    </row>
    <row r="52" spans="2:15" ht="15" customHeight="1" thickBot="1" x14ac:dyDescent="0.3">
      <c r="B52" s="52" t="s">
        <v>81</v>
      </c>
      <c r="C52" s="18">
        <f>SUMIFS(Donnees!$I$6:$I$1000000,Donnees!$K$6:$K$1000000,"01",Donnees!$F$6:$F$1000000,"CTD")-SUMIFS(Donnees!$J$6:$J$1000000,Donnees!$K$6:$K$1000000,"01",Donnees!$F$6:$F$1000000,"CTD")
+SUMIFS(Donnees!$I$6:$I$1000000,Donnees!$K$6:$K$1000000,"01",Donnees!$F$6:$F$1000000,"DECNR")-SUMIFS(Donnees!$J$6:$J$1000000,Donnees!$K$6:$K$1000000,"01",Donnees!$F$6:$F$1000000,"DECNR")</f>
        <v>0</v>
      </c>
      <c r="D52" s="19">
        <f>SUMIFS(Donnees!$I$6:$I$1000000,Donnees!$K$6:$K$1000000,"02",Donnees!$F$6:$F$1000000,"CTD")-SUMIFS(Donnees!$J$6:$J$1000000,Donnees!$K$6:$K$1000000,"02",Donnees!$F$6:$F$1000000,"CTD")
+SUMIFS(Donnees!$I$6:$I$1000000,Donnees!$K$6:$K$1000000,"02",Donnees!$F$6:$F$1000000,"DECNR")-SUMIFS(Donnees!$J$6:$J$1000000,Donnees!$K$6:$K$1000000,"02",Donnees!$F$6:$F$1000000,"DECNR")</f>
        <v>0</v>
      </c>
      <c r="E52" s="18">
        <f>SUMIFS(Donnees!$I$6:$I$1000000,Donnees!$K$6:$K$1000000,"03",Donnees!$F$6:$F$1000000,"CTD")-SUMIFS(Donnees!$J$6:$J$1000000,Donnees!$K$6:$K$1000000,"03",Donnees!$F$6:$F$1000000,"CTD")
+SUMIFS(Donnees!$I$6:$I$1000000,Donnees!$K$6:$K$1000000,"03",Donnees!$F$6:$F$1000000,"DECNR")-SUMIFS(Donnees!$J$6:$J$1000000,Donnees!$K$6:$K$1000000,"03",Donnees!$F$6:$F$1000000,"DECNR")</f>
        <v>0</v>
      </c>
      <c r="F52" s="19">
        <f>SUMIFS(Donnees!$I$6:$I$1000000,Donnees!$K$6:$K$1000000,"04",Donnees!$F$6:$F$1000000,"CTD")-SUMIFS(Donnees!$J$6:$J$1000000,Donnees!$K$6:$K$1000000,"04",Donnees!$F$6:$F$1000000,"CTD")
+SUMIFS(Donnees!$I$6:$I$1000000,Donnees!$K$6:$K$1000000,"04",Donnees!$F$6:$F$1000000,"DECNR")-SUMIFS(Donnees!$J$6:$J$1000000,Donnees!$K$6:$K$1000000,"04",Donnees!$F$6:$F$1000000,"DECNR")</f>
        <v>0</v>
      </c>
      <c r="G52" s="18">
        <f>SUMIFS(Donnees!$I$6:$I$1000000,Donnees!$K$6:$K$1000000,"05",Donnees!$F$6:$F$1000000,"CTD")-SUMIFS(Donnees!$J$6:$J$1000000,Donnees!$K$6:$K$1000000,"05",Donnees!$F$6:$F$1000000,"CTD")
+SUMIFS(Donnees!$I$6:$I$1000000,Donnees!$K$6:$K$1000000,"05",Donnees!$F$6:$F$1000000,"DECNR")-SUMIFS(Donnees!$J$6:$J$1000000,Donnees!$K$6:$K$1000000,"05",Donnees!$F$6:$F$1000000,"DECNR")</f>
        <v>8000</v>
      </c>
      <c r="H52" s="19">
        <f>SUMIFS(Donnees!$I$6:$I$1000000,Donnees!$K$6:$K$1000000,"06",Donnees!$F$6:$F$1000000,"CTD")-SUMIFS(Donnees!$J$6:$J$1000000,Donnees!$K$6:$K$1000000,"06",Donnees!$F$6:$F$1000000,"CTD")
+SUMIFS(Donnees!$I$6:$I$1000000,Donnees!$K$6:$K$1000000,"06",Donnees!$F$6:$F$1000000,"DECNR")-SUMIFS(Donnees!$J$6:$J$1000000,Donnees!$K$6:$K$1000000,"06",Donnees!$F$6:$F$1000000,"DECNR")</f>
        <v>0</v>
      </c>
      <c r="I52" s="18">
        <f>SUMIFS(Donnees!$I$6:$I$1000000,Donnees!$K$6:$K$1000000,"07",Donnees!$F$6:$F$1000000,"CTD")-SUMIFS(Donnees!$J$6:$J$1000000,Donnees!$K$6:$K$1000000,"07",Donnees!$F$6:$F$1000000,"CTD")
+SUMIFS(Donnees!$I$6:$I$1000000,Donnees!$K$6:$K$1000000,"07",Donnees!$F$6:$F$1000000,"DECNR")-SUMIFS(Donnees!$J$6:$J$1000000,Donnees!$K$6:$K$1000000,"07",Donnees!$F$6:$F$1000000,"DECNR")</f>
        <v>0</v>
      </c>
      <c r="J52" s="19">
        <f>SUMIFS(Donnees!$I$6:$I$1000000,Donnees!$K$6:$K$1000000,"08",Donnees!$F$6:$F$1000000,"CTD")-SUMIFS(Donnees!$J$6:$J$1000000,Donnees!$K$6:$K$1000000,"08",Donnees!$F$6:$F$1000000,"CTD")
+SUMIFS(Donnees!$I$6:$I$1000000,Donnees!$K$6:$K$1000000,"08",Donnees!$F$6:$F$1000000,"DECNR")-SUMIFS(Donnees!$J$6:$J$1000000,Donnees!$K$6:$K$1000000,"08",Donnees!$F$6:$F$1000000,"DECNR")</f>
        <v>12300</v>
      </c>
      <c r="K52" s="18">
        <f>SUMIFS(Donnees!$I$6:$I$1000000,Donnees!$K$6:$K$1000000,"09",Donnees!$F$6:$F$1000000,"CTD")-SUMIFS(Donnees!$J$6:$J$1000000,Donnees!$K$6:$K$1000000,"09",Donnees!$F$6:$F$1000000,"CTD")
+SUMIFS(Donnees!$I$6:$I$1000000,Donnees!$K$6:$K$1000000,"09",Donnees!$F$6:$F$1000000,"DECNR")-SUMIFS(Donnees!$J$6:$J$1000000,Donnees!$K$6:$K$1000000,"09",Donnees!$F$6:$F$1000000,"DECNR")</f>
        <v>0</v>
      </c>
      <c r="L52" s="19">
        <f>SUMIFS(Donnees!$I$6:$I$1000000,Donnees!$K$6:$K$1000000,"10",Donnees!$F$6:$F$1000000,"CTD")-SUMIFS(Donnees!$J$6:$J$1000000,Donnees!$K$6:$K$1000000,"10",Donnees!$F$6:$F$1000000,"CTD")
+SUMIFS(Donnees!$I$6:$I$1000000,Donnees!$K$6:$K$1000000,"10",Donnees!$F$6:$F$1000000,"DECNR")-SUMIFS(Donnees!$J$6:$J$1000000,Donnees!$K$6:$K$1000000,"10",Donnees!$F$6:$F$1000000,"DECNR")</f>
        <v>0</v>
      </c>
      <c r="M52" s="18">
        <f>SUMIFS(Donnees!$I$6:$I$1000000,Donnees!$K$6:$K$1000000,"11",Donnees!$F$6:$F$1000000,"CTD")-SUMIFS(Donnees!$J$6:$J$1000000,Donnees!$K$6:$K$1000000,"11",Donnees!$F$6:$F$1000000,"CTD")
+SUMIFS(Donnees!$I$6:$I$1000000,Donnees!$K$6:$K$1000000,"11",Donnees!$F$6:$F$1000000,"DECNR")-SUMIFS(Donnees!$J$6:$J$1000000,Donnees!$K$6:$K$1000000,"11",Donnees!$F$6:$F$1000000,"DECNR")</f>
        <v>0</v>
      </c>
      <c r="N52" s="19">
        <f>SUMIFS(Donnees!$I$6:$I$1000000,Donnees!$K$6:$K$1000000,"12",Donnees!$F$6:$F$1000000,"CTD")-SUMIFS(Donnees!$J$6:$J$1000000,Donnees!$K$6:$K$1000000,"12",Donnees!$F$6:$F$1000000,"CTD")
+SUMIFS(Donnees!$I$6:$I$1000000,Donnees!$K$6:$K$1000000,"12",Donnees!$F$6:$F$1000000,"DECNR")-SUMIFS(Donnees!$J$6:$J$1000000,Donnees!$K$6:$K$1000000,"12",Donnees!$F$6:$F$1000000,"DECNR")</f>
        <v>15000</v>
      </c>
      <c r="O52" s="18">
        <f t="shared" si="19"/>
        <v>35300</v>
      </c>
    </row>
    <row r="53" spans="2:15" ht="15" customHeight="1" thickBot="1" x14ac:dyDescent="0.3">
      <c r="B53" s="33" t="s">
        <v>34</v>
      </c>
      <c r="C53" s="18">
        <f t="shared" ref="C53:O53" si="21">+C34+C39+C44</f>
        <v>20473320</v>
      </c>
      <c r="D53" s="19">
        <f t="shared" si="21"/>
        <v>10761000</v>
      </c>
      <c r="E53" s="19">
        <f t="shared" si="21"/>
        <v>9048000</v>
      </c>
      <c r="F53" s="19">
        <f t="shared" si="21"/>
        <v>8640000</v>
      </c>
      <c r="G53" s="19">
        <f t="shared" si="21"/>
        <v>15708000</v>
      </c>
      <c r="H53" s="19">
        <f t="shared" si="21"/>
        <v>12174000</v>
      </c>
      <c r="I53" s="19">
        <f t="shared" si="21"/>
        <v>15653000</v>
      </c>
      <c r="J53" s="19">
        <f t="shared" si="21"/>
        <v>12976600</v>
      </c>
      <c r="K53" s="19">
        <f t="shared" si="21"/>
        <v>6480000</v>
      </c>
      <c r="L53" s="19">
        <f t="shared" si="21"/>
        <v>9920000</v>
      </c>
      <c r="M53" s="19">
        <f t="shared" si="21"/>
        <v>6870000</v>
      </c>
      <c r="N53" s="19">
        <f t="shared" si="21"/>
        <v>5675000</v>
      </c>
      <c r="O53" s="20">
        <f t="shared" si="21"/>
        <v>134378920</v>
      </c>
    </row>
    <row r="54" spans="2:15" ht="15" customHeight="1" thickBot="1" x14ac:dyDescent="0.3">
      <c r="B54" s="34" t="s">
        <v>31</v>
      </c>
      <c r="C54" s="14">
        <f>C32-C53</f>
        <v>6926680</v>
      </c>
      <c r="D54" s="14">
        <f t="shared" ref="D54:O54" si="22">D32-D53</f>
        <v>6151000</v>
      </c>
      <c r="E54" s="14">
        <f t="shared" si="22"/>
        <v>1937000</v>
      </c>
      <c r="F54" s="14">
        <f t="shared" si="22"/>
        <v>7940000</v>
      </c>
      <c r="G54" s="14">
        <f t="shared" si="22"/>
        <v>-7263370</v>
      </c>
      <c r="H54" s="14">
        <f t="shared" si="22"/>
        <v>-3911000</v>
      </c>
      <c r="I54" s="14">
        <f t="shared" si="22"/>
        <v>-7993000</v>
      </c>
      <c r="J54" s="14">
        <f t="shared" si="22"/>
        <v>4766400</v>
      </c>
      <c r="K54" s="14">
        <f t="shared" si="22"/>
        <v>-3306000</v>
      </c>
      <c r="L54" s="14">
        <f t="shared" si="22"/>
        <v>78085000</v>
      </c>
      <c r="M54" s="14">
        <f t="shared" si="22"/>
        <v>3638000</v>
      </c>
      <c r="N54" s="14">
        <f t="shared" si="22"/>
        <v>5541000</v>
      </c>
      <c r="O54" s="35">
        <f t="shared" si="22"/>
        <v>92511710</v>
      </c>
    </row>
    <row r="55" spans="2:15" ht="15" customHeight="1" thickBot="1" x14ac:dyDescent="0.3">
      <c r="B55" s="36" t="s">
        <v>32</v>
      </c>
      <c r="C55" s="37">
        <f t="shared" ref="C55:N55" si="23">+C54+C9</f>
        <v>12481680</v>
      </c>
      <c r="D55" s="38">
        <f t="shared" si="23"/>
        <v>18632680</v>
      </c>
      <c r="E55" s="38">
        <f t="shared" si="23"/>
        <v>20569680</v>
      </c>
      <c r="F55" s="38">
        <f t="shared" si="23"/>
        <v>28509680</v>
      </c>
      <c r="G55" s="38">
        <f t="shared" si="23"/>
        <v>21246310</v>
      </c>
      <c r="H55" s="38">
        <f t="shared" si="23"/>
        <v>17335310</v>
      </c>
      <c r="I55" s="38">
        <f t="shared" si="23"/>
        <v>9342310</v>
      </c>
      <c r="J55" s="38">
        <f t="shared" si="23"/>
        <v>14108710</v>
      </c>
      <c r="K55" s="38">
        <f t="shared" si="23"/>
        <v>10802710</v>
      </c>
      <c r="L55" s="38">
        <f t="shared" si="23"/>
        <v>88887710</v>
      </c>
      <c r="M55" s="38">
        <f t="shared" si="23"/>
        <v>92525710</v>
      </c>
      <c r="N55" s="38">
        <f t="shared" si="23"/>
        <v>98066710</v>
      </c>
      <c r="O55" s="39"/>
    </row>
  </sheetData>
  <mergeCells count="6">
    <mergeCell ref="B1:M1"/>
    <mergeCell ref="B7:O7"/>
    <mergeCell ref="B2:O2"/>
    <mergeCell ref="B4:O4"/>
    <mergeCell ref="B6:O6"/>
    <mergeCell ref="B5:O5"/>
  </mergeCells>
  <pageMargins left="0.7" right="0.7" top="0.75" bottom="0.75" header="0.3" footer="0.3"/>
  <pageSetup paperSize="9" scale="27" orientation="portrait" r:id="rId1"/>
  <ignoredErrors>
    <ignoredError sqref="C27:O27 O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7"/>
  <sheetViews>
    <sheetView workbookViewId="0"/>
  </sheetViews>
  <sheetFormatPr baseColWidth="10" defaultRowHeight="15" x14ac:dyDescent="0.25"/>
  <cols>
    <col min="1" max="1" width="14.5703125" bestFit="1" customWidth="1"/>
    <col min="2" max="2" width="19.28515625" bestFit="1" customWidth="1"/>
    <col min="4" max="4" width="19.5703125" bestFit="1" customWidth="1"/>
    <col min="9" max="9" width="13.7109375" bestFit="1" customWidth="1"/>
    <col min="10" max="10" width="14.140625" bestFit="1" customWidth="1"/>
    <col min="14" max="14" width="13.5703125" hidden="1" customWidth="1"/>
    <col min="15" max="15" width="11.42578125" hidden="1" customWidth="1"/>
    <col min="16" max="16" width="18.5703125" hidden="1" customWidth="1"/>
    <col min="17" max="25" width="11.42578125" hidden="1" customWidth="1"/>
  </cols>
  <sheetData>
    <row r="1" spans="1:25" x14ac:dyDescent="0.25">
      <c r="A1" t="s">
        <v>56</v>
      </c>
      <c r="B1" t="str">
        <f>N6</f>
        <v>IND</v>
      </c>
      <c r="C1" t="str">
        <f>O6</f>
        <v>Qualiac développement</v>
      </c>
      <c r="D1" t="s">
        <v>57</v>
      </c>
      <c r="E1" t="str">
        <f>P6</f>
        <v>2014</v>
      </c>
    </row>
    <row r="2" spans="1:25" s="1" customFormat="1" x14ac:dyDescent="0.25">
      <c r="A2" s="1" t="s">
        <v>58</v>
      </c>
      <c r="B2" t="str">
        <f>Q6</f>
        <v>CENTRE</v>
      </c>
      <c r="C2" t="str">
        <f>R6</f>
        <v>Centre</v>
      </c>
      <c r="D2" s="1" t="s">
        <v>59</v>
      </c>
      <c r="E2" t="str">
        <f>S6</f>
        <v>DAT</v>
      </c>
      <c r="F2"/>
    </row>
    <row r="3" spans="1:25" s="1" customFormat="1" x14ac:dyDescent="0.25">
      <c r="A3" s="1" t="s">
        <v>60</v>
      </c>
      <c r="B3" t="str">
        <f>T6</f>
        <v>CB</v>
      </c>
      <c r="C3" t="str">
        <f>U6</f>
        <v>Comptes budgétaires</v>
      </c>
      <c r="D3" s="1" t="s">
        <v>59</v>
      </c>
      <c r="E3" t="str">
        <f>V6</f>
        <v>CB</v>
      </c>
      <c r="F3"/>
    </row>
    <row r="4" spans="1:25" s="1" customFormat="1" x14ac:dyDescent="0.25">
      <c r="A4" s="1" t="s">
        <v>61</v>
      </c>
      <c r="B4" t="str">
        <f>W6</f>
        <v>263631</v>
      </c>
      <c r="C4" s="1" t="s">
        <v>62</v>
      </c>
      <c r="D4" t="str">
        <f>X6</f>
        <v>PR</v>
      </c>
      <c r="E4" s="1" t="s">
        <v>63</v>
      </c>
      <c r="F4" t="str">
        <f>Y6</f>
        <v>01/12/2015</v>
      </c>
    </row>
    <row r="5" spans="1:25" s="1" customFormat="1" x14ac:dyDescent="0.25">
      <c r="A5" s="1" t="s">
        <v>36</v>
      </c>
      <c r="B5" s="1" t="s">
        <v>37</v>
      </c>
      <c r="C5" s="4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48</v>
      </c>
      <c r="R5" s="1" t="s">
        <v>50</v>
      </c>
      <c r="S5" s="1" t="s">
        <v>52</v>
      </c>
      <c r="T5" s="1" t="s">
        <v>38</v>
      </c>
      <c r="U5" s="1" t="s">
        <v>50</v>
      </c>
      <c r="V5" s="1" t="s">
        <v>52</v>
      </c>
      <c r="W5" s="1" t="s">
        <v>53</v>
      </c>
      <c r="X5" s="1" t="s">
        <v>54</v>
      </c>
      <c r="Y5" s="1" t="s">
        <v>55</v>
      </c>
    </row>
    <row r="6" spans="1:25" x14ac:dyDescent="0.25">
      <c r="A6" s="1" t="s">
        <v>127</v>
      </c>
      <c r="B6" s="1" t="s">
        <v>82</v>
      </c>
      <c r="C6" s="1" t="s">
        <v>120</v>
      </c>
      <c r="D6" s="1" t="s">
        <v>84</v>
      </c>
      <c r="E6" s="1" t="s">
        <v>85</v>
      </c>
      <c r="F6" s="1" t="s">
        <v>116</v>
      </c>
      <c r="G6" s="1" t="s">
        <v>120</v>
      </c>
      <c r="H6" s="1"/>
      <c r="I6" s="2">
        <v>0</v>
      </c>
      <c r="J6" s="2">
        <v>200000</v>
      </c>
      <c r="K6" s="61" t="s">
        <v>128</v>
      </c>
      <c r="L6" s="2" t="s">
        <v>88</v>
      </c>
      <c r="M6" s="2" t="s">
        <v>89</v>
      </c>
      <c r="N6" s="3" t="s">
        <v>90</v>
      </c>
      <c r="O6" s="3" t="s">
        <v>129</v>
      </c>
      <c r="P6" s="3" t="s">
        <v>130</v>
      </c>
      <c r="Q6" s="3" t="s">
        <v>91</v>
      </c>
      <c r="R6" s="3" t="s">
        <v>92</v>
      </c>
      <c r="S6" s="3" t="s">
        <v>93</v>
      </c>
      <c r="T6" s="3" t="s">
        <v>94</v>
      </c>
      <c r="U6" s="3" t="s">
        <v>95</v>
      </c>
      <c r="V6" s="3" t="s">
        <v>94</v>
      </c>
      <c r="W6" s="3" t="s">
        <v>131</v>
      </c>
      <c r="X6" s="3" t="s">
        <v>96</v>
      </c>
      <c r="Y6" s="62" t="s">
        <v>132</v>
      </c>
    </row>
    <row r="7" spans="1:25" x14ac:dyDescent="0.25">
      <c r="A7" s="1" t="s">
        <v>127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83</v>
      </c>
      <c r="H7" s="1"/>
      <c r="I7" s="2">
        <v>0</v>
      </c>
      <c r="J7" s="2">
        <v>4000000</v>
      </c>
      <c r="K7" s="2" t="s">
        <v>87</v>
      </c>
      <c r="L7" s="2" t="s">
        <v>88</v>
      </c>
      <c r="M7" s="2" t="s">
        <v>89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5" x14ac:dyDescent="0.25">
      <c r="A8" s="1" t="s">
        <v>127</v>
      </c>
      <c r="B8" s="1" t="s">
        <v>82</v>
      </c>
      <c r="C8" s="1" t="s">
        <v>133</v>
      </c>
      <c r="D8" s="1" t="s">
        <v>84</v>
      </c>
      <c r="E8" s="1" t="s">
        <v>85</v>
      </c>
      <c r="F8" s="1" t="s">
        <v>116</v>
      </c>
      <c r="G8" s="1" t="s">
        <v>133</v>
      </c>
      <c r="H8" s="1"/>
      <c r="I8" s="2">
        <v>0</v>
      </c>
      <c r="J8" s="2">
        <v>2800000</v>
      </c>
      <c r="K8" s="2" t="s">
        <v>134</v>
      </c>
      <c r="L8" s="2" t="s">
        <v>88</v>
      </c>
      <c r="M8" s="2" t="s">
        <v>89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5" x14ac:dyDescent="0.25">
      <c r="A9" s="1" t="s">
        <v>127</v>
      </c>
      <c r="B9" s="1" t="s">
        <v>82</v>
      </c>
      <c r="C9" s="1" t="s">
        <v>135</v>
      </c>
      <c r="D9" s="1" t="s">
        <v>84</v>
      </c>
      <c r="E9" s="1" t="s">
        <v>85</v>
      </c>
      <c r="F9" s="1" t="s">
        <v>116</v>
      </c>
      <c r="G9" s="1" t="s">
        <v>135</v>
      </c>
      <c r="H9" s="1"/>
      <c r="I9" s="2">
        <v>20000</v>
      </c>
      <c r="J9" s="2">
        <v>1800000</v>
      </c>
      <c r="K9" s="2" t="s">
        <v>134</v>
      </c>
      <c r="L9" s="2" t="s">
        <v>88</v>
      </c>
      <c r="M9" s="2" t="s">
        <v>89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25">
      <c r="A10" s="1" t="s">
        <v>127</v>
      </c>
      <c r="B10" s="1" t="s">
        <v>82</v>
      </c>
      <c r="C10" s="1" t="s">
        <v>136</v>
      </c>
      <c r="D10" s="1" t="s">
        <v>84</v>
      </c>
      <c r="E10" s="1" t="s">
        <v>109</v>
      </c>
      <c r="F10" s="1" t="s">
        <v>136</v>
      </c>
      <c r="G10" s="1"/>
      <c r="H10" s="1"/>
      <c r="I10" s="2">
        <v>50000</v>
      </c>
      <c r="J10" s="2">
        <v>0</v>
      </c>
      <c r="K10" s="2" t="s">
        <v>87</v>
      </c>
      <c r="L10" s="2" t="s">
        <v>88</v>
      </c>
      <c r="M10" s="2" t="s">
        <v>89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5" x14ac:dyDescent="0.25">
      <c r="A11" s="1" t="s">
        <v>127</v>
      </c>
      <c r="B11" s="1" t="s">
        <v>82</v>
      </c>
      <c r="C11" s="1" t="s">
        <v>136</v>
      </c>
      <c r="D11" s="1" t="s">
        <v>84</v>
      </c>
      <c r="E11" s="1" t="s">
        <v>109</v>
      </c>
      <c r="F11" s="1" t="s">
        <v>136</v>
      </c>
      <c r="G11" s="1"/>
      <c r="H11" s="1"/>
      <c r="I11" s="2">
        <v>2000000</v>
      </c>
      <c r="J11" s="2">
        <v>0</v>
      </c>
      <c r="K11" s="2" t="s">
        <v>87</v>
      </c>
      <c r="L11" s="2" t="s">
        <v>88</v>
      </c>
      <c r="M11" s="2" t="s">
        <v>89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5" x14ac:dyDescent="0.25">
      <c r="A12" s="1" t="s">
        <v>127</v>
      </c>
      <c r="B12" s="1" t="s">
        <v>82</v>
      </c>
      <c r="C12" s="1" t="s">
        <v>136</v>
      </c>
      <c r="D12" s="1" t="s">
        <v>84</v>
      </c>
      <c r="E12" s="1" t="s">
        <v>109</v>
      </c>
      <c r="F12" s="1" t="s">
        <v>136</v>
      </c>
      <c r="G12" s="1"/>
      <c r="H12" s="1"/>
      <c r="I12" s="2">
        <v>100000</v>
      </c>
      <c r="J12" s="2">
        <v>0</v>
      </c>
      <c r="K12" s="2" t="s">
        <v>137</v>
      </c>
      <c r="L12" s="2" t="s">
        <v>88</v>
      </c>
      <c r="M12" s="2" t="s">
        <v>89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5" x14ac:dyDescent="0.25">
      <c r="A13" s="1" t="s">
        <v>127</v>
      </c>
      <c r="B13" s="1" t="s">
        <v>82</v>
      </c>
      <c r="C13" s="1" t="s">
        <v>136</v>
      </c>
      <c r="D13" s="1" t="s">
        <v>84</v>
      </c>
      <c r="E13" s="1" t="s">
        <v>109</v>
      </c>
      <c r="F13" s="1" t="s">
        <v>136</v>
      </c>
      <c r="G13" s="1"/>
      <c r="H13" s="1"/>
      <c r="I13" s="2">
        <v>188000</v>
      </c>
      <c r="J13" s="2">
        <v>0</v>
      </c>
      <c r="K13" s="2" t="s">
        <v>137</v>
      </c>
      <c r="L13" s="2" t="s">
        <v>88</v>
      </c>
      <c r="M13" s="2" t="s">
        <v>89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5" x14ac:dyDescent="0.25">
      <c r="A14" s="1" t="s">
        <v>127</v>
      </c>
      <c r="B14" s="1" t="s">
        <v>82</v>
      </c>
      <c r="C14" s="1" t="s">
        <v>136</v>
      </c>
      <c r="D14" s="1" t="s">
        <v>84</v>
      </c>
      <c r="E14" s="1" t="s">
        <v>109</v>
      </c>
      <c r="F14" s="1" t="s">
        <v>136</v>
      </c>
      <c r="G14" s="1"/>
      <c r="H14" s="1"/>
      <c r="I14" s="2">
        <v>400000</v>
      </c>
      <c r="J14" s="2">
        <v>0</v>
      </c>
      <c r="K14" s="2" t="s">
        <v>138</v>
      </c>
      <c r="L14" s="2" t="s">
        <v>88</v>
      </c>
      <c r="M14" s="2" t="s">
        <v>89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25">
      <c r="A15" s="1" t="s">
        <v>127</v>
      </c>
      <c r="B15" s="1" t="s">
        <v>82</v>
      </c>
      <c r="C15" s="1" t="s">
        <v>136</v>
      </c>
      <c r="D15" s="1" t="s">
        <v>84</v>
      </c>
      <c r="E15" s="1" t="s">
        <v>109</v>
      </c>
      <c r="F15" s="1" t="s">
        <v>136</v>
      </c>
      <c r="G15" s="1"/>
      <c r="H15" s="1"/>
      <c r="I15" s="2">
        <v>900000</v>
      </c>
      <c r="J15" s="2">
        <v>0</v>
      </c>
      <c r="K15" s="2" t="s">
        <v>138</v>
      </c>
      <c r="L15" s="2" t="s">
        <v>88</v>
      </c>
      <c r="M15" s="2" t="s">
        <v>89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5" x14ac:dyDescent="0.25">
      <c r="A16" s="1" t="s">
        <v>127</v>
      </c>
      <c r="B16" s="1" t="s">
        <v>82</v>
      </c>
      <c r="C16" s="1" t="s">
        <v>136</v>
      </c>
      <c r="D16" s="1" t="s">
        <v>84</v>
      </c>
      <c r="E16" s="1" t="s">
        <v>109</v>
      </c>
      <c r="F16" s="1" t="s">
        <v>136</v>
      </c>
      <c r="G16" s="1"/>
      <c r="H16" s="1"/>
      <c r="I16" s="2">
        <v>500000</v>
      </c>
      <c r="J16" s="2">
        <v>0</v>
      </c>
      <c r="K16" s="2" t="s">
        <v>139</v>
      </c>
      <c r="L16" s="2" t="s">
        <v>88</v>
      </c>
      <c r="M16" s="2" t="s">
        <v>89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" t="s">
        <v>127</v>
      </c>
      <c r="B17" s="1" t="s">
        <v>82</v>
      </c>
      <c r="C17" s="1" t="s">
        <v>136</v>
      </c>
      <c r="D17" s="1" t="s">
        <v>84</v>
      </c>
      <c r="E17" s="1" t="s">
        <v>109</v>
      </c>
      <c r="F17" s="1" t="s">
        <v>136</v>
      </c>
      <c r="G17" s="1"/>
      <c r="H17" s="1"/>
      <c r="I17" s="2">
        <v>0</v>
      </c>
      <c r="J17" s="2">
        <v>14780</v>
      </c>
      <c r="K17" s="2" t="s">
        <v>87</v>
      </c>
      <c r="L17" s="2" t="s">
        <v>88</v>
      </c>
      <c r="M17" s="2" t="s">
        <v>89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" t="s">
        <v>127</v>
      </c>
      <c r="B18" s="1" t="s">
        <v>82</v>
      </c>
      <c r="C18" s="1" t="s">
        <v>136</v>
      </c>
      <c r="D18" s="1" t="s">
        <v>84</v>
      </c>
      <c r="E18" s="1" t="s">
        <v>109</v>
      </c>
      <c r="F18" s="1" t="s">
        <v>136</v>
      </c>
      <c r="G18" s="1"/>
      <c r="H18" s="1"/>
      <c r="I18" s="2">
        <v>0</v>
      </c>
      <c r="J18" s="2">
        <v>18900</v>
      </c>
      <c r="K18" s="2" t="s">
        <v>87</v>
      </c>
      <c r="L18" s="2" t="s">
        <v>88</v>
      </c>
      <c r="M18" s="2" t="s">
        <v>89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1" t="s">
        <v>127</v>
      </c>
      <c r="B19" s="1" t="s">
        <v>82</v>
      </c>
      <c r="C19" s="1" t="s">
        <v>108</v>
      </c>
      <c r="D19" s="1" t="s">
        <v>84</v>
      </c>
      <c r="E19" s="1" t="s">
        <v>109</v>
      </c>
      <c r="F19" s="1" t="s">
        <v>108</v>
      </c>
      <c r="G19" s="1"/>
      <c r="H19" s="1"/>
      <c r="I19" s="2">
        <v>1520000</v>
      </c>
      <c r="J19" s="2">
        <v>0</v>
      </c>
      <c r="K19" s="2" t="s">
        <v>87</v>
      </c>
      <c r="L19" s="2" t="s">
        <v>88</v>
      </c>
      <c r="M19" s="2" t="s">
        <v>89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1" t="s">
        <v>127</v>
      </c>
      <c r="B20" s="1" t="s">
        <v>82</v>
      </c>
      <c r="C20" s="1" t="s">
        <v>108</v>
      </c>
      <c r="D20" s="1" t="s">
        <v>84</v>
      </c>
      <c r="E20" s="1" t="s">
        <v>109</v>
      </c>
      <c r="F20" s="1" t="s">
        <v>108</v>
      </c>
      <c r="G20" s="1"/>
      <c r="H20" s="1"/>
      <c r="I20" s="2">
        <v>1520000</v>
      </c>
      <c r="J20" s="2">
        <v>0</v>
      </c>
      <c r="K20" s="2" t="s">
        <v>140</v>
      </c>
      <c r="L20" s="2" t="s">
        <v>88</v>
      </c>
      <c r="M20" s="2" t="s">
        <v>89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1" t="s">
        <v>127</v>
      </c>
      <c r="B21" s="1" t="s">
        <v>82</v>
      </c>
      <c r="C21" s="1" t="s">
        <v>103</v>
      </c>
      <c r="D21" s="1" t="s">
        <v>97</v>
      </c>
      <c r="E21" s="1" t="s">
        <v>103</v>
      </c>
      <c r="F21" s="1"/>
      <c r="G21" s="1"/>
      <c r="H21" s="1"/>
      <c r="I21" s="2">
        <v>1520000</v>
      </c>
      <c r="J21" s="2">
        <v>0</v>
      </c>
      <c r="K21" s="2" t="s">
        <v>137</v>
      </c>
      <c r="L21" s="2" t="s">
        <v>88</v>
      </c>
      <c r="M21" s="2" t="s">
        <v>89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1" t="s">
        <v>127</v>
      </c>
      <c r="B22" s="1" t="s">
        <v>82</v>
      </c>
      <c r="C22" s="1" t="s">
        <v>141</v>
      </c>
      <c r="D22" s="1" t="s">
        <v>97</v>
      </c>
      <c r="E22" s="1" t="s">
        <v>141</v>
      </c>
      <c r="F22" s="1"/>
      <c r="G22" s="1"/>
      <c r="H22" s="1"/>
      <c r="I22" s="2">
        <v>0</v>
      </c>
      <c r="J22" s="2">
        <v>5555000</v>
      </c>
      <c r="K22" s="2" t="s">
        <v>87</v>
      </c>
      <c r="L22" s="2" t="s">
        <v>88</v>
      </c>
      <c r="M22" s="2" t="s">
        <v>89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" t="s">
        <v>127</v>
      </c>
      <c r="B23" s="1" t="s">
        <v>82</v>
      </c>
      <c r="C23" s="1" t="s">
        <v>108</v>
      </c>
      <c r="D23" s="1" t="s">
        <v>84</v>
      </c>
      <c r="E23" s="1" t="s">
        <v>109</v>
      </c>
      <c r="F23" s="1" t="s">
        <v>108</v>
      </c>
      <c r="G23" s="1"/>
      <c r="H23" s="1"/>
      <c r="I23" s="2">
        <v>1520000</v>
      </c>
      <c r="J23" s="2">
        <v>0</v>
      </c>
      <c r="K23" s="2" t="s">
        <v>128</v>
      </c>
      <c r="L23" s="2" t="s">
        <v>88</v>
      </c>
      <c r="M23" s="2" t="s">
        <v>89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" t="s">
        <v>127</v>
      </c>
      <c r="B24" s="1" t="s">
        <v>82</v>
      </c>
      <c r="C24" s="1" t="s">
        <v>108</v>
      </c>
      <c r="D24" s="1" t="s">
        <v>84</v>
      </c>
      <c r="E24" s="1" t="s">
        <v>109</v>
      </c>
      <c r="F24" s="1" t="s">
        <v>108</v>
      </c>
      <c r="G24" s="1"/>
      <c r="H24" s="1"/>
      <c r="I24" s="2">
        <v>1520000</v>
      </c>
      <c r="J24" s="2">
        <v>0</v>
      </c>
      <c r="K24" s="2" t="s">
        <v>87</v>
      </c>
      <c r="L24" s="2" t="s">
        <v>88</v>
      </c>
      <c r="M24" s="2" t="s">
        <v>89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1" t="s">
        <v>127</v>
      </c>
      <c r="B25" s="1" t="s">
        <v>82</v>
      </c>
      <c r="C25" s="1" t="s">
        <v>108</v>
      </c>
      <c r="D25" s="1" t="s">
        <v>84</v>
      </c>
      <c r="E25" s="1" t="s">
        <v>109</v>
      </c>
      <c r="F25" s="1" t="s">
        <v>108</v>
      </c>
      <c r="G25" s="1"/>
      <c r="H25" s="1"/>
      <c r="I25" s="2">
        <v>1520000</v>
      </c>
      <c r="J25" s="2">
        <v>0</v>
      </c>
      <c r="K25" s="2" t="s">
        <v>140</v>
      </c>
      <c r="L25" s="2" t="s">
        <v>88</v>
      </c>
      <c r="M25" s="2" t="s">
        <v>89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1" t="s">
        <v>127</v>
      </c>
      <c r="B26" s="1" t="s">
        <v>82</v>
      </c>
      <c r="C26" s="1" t="s">
        <v>108</v>
      </c>
      <c r="D26" s="1" t="s">
        <v>84</v>
      </c>
      <c r="E26" s="1" t="s">
        <v>109</v>
      </c>
      <c r="F26" s="1" t="s">
        <v>108</v>
      </c>
      <c r="G26" s="1"/>
      <c r="H26" s="1"/>
      <c r="I26" s="2">
        <v>1520000</v>
      </c>
      <c r="J26" s="2">
        <v>0</v>
      </c>
      <c r="K26" s="2" t="s">
        <v>137</v>
      </c>
      <c r="L26" s="2" t="s">
        <v>88</v>
      </c>
      <c r="M26" s="2" t="s">
        <v>89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1" t="s">
        <v>127</v>
      </c>
      <c r="B27" s="1" t="s">
        <v>82</v>
      </c>
      <c r="C27" s="1" t="s">
        <v>108</v>
      </c>
      <c r="D27" s="1" t="s">
        <v>84</v>
      </c>
      <c r="E27" s="1" t="s">
        <v>109</v>
      </c>
      <c r="F27" s="1" t="s">
        <v>108</v>
      </c>
      <c r="G27" s="1"/>
      <c r="H27" s="1"/>
      <c r="I27" s="2">
        <v>1520000</v>
      </c>
      <c r="J27" s="2">
        <v>0</v>
      </c>
      <c r="K27" s="2" t="s">
        <v>128</v>
      </c>
      <c r="L27" s="2" t="s">
        <v>88</v>
      </c>
      <c r="M27" s="2" t="s">
        <v>89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1" t="s">
        <v>127</v>
      </c>
      <c r="B28" s="1" t="s">
        <v>82</v>
      </c>
      <c r="C28" s="1" t="s">
        <v>108</v>
      </c>
      <c r="D28" s="1" t="s">
        <v>84</v>
      </c>
      <c r="E28" s="1" t="s">
        <v>109</v>
      </c>
      <c r="F28" s="1" t="s">
        <v>108</v>
      </c>
      <c r="G28" s="1"/>
      <c r="H28" s="1"/>
      <c r="I28" s="2">
        <v>1520000</v>
      </c>
      <c r="J28" s="2">
        <v>0</v>
      </c>
      <c r="K28" s="2" t="s">
        <v>87</v>
      </c>
      <c r="L28" s="2" t="s">
        <v>88</v>
      </c>
      <c r="M28" s="2" t="s">
        <v>89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" t="s">
        <v>127</v>
      </c>
      <c r="B29" s="1" t="s">
        <v>82</v>
      </c>
      <c r="C29" s="1" t="s">
        <v>108</v>
      </c>
      <c r="D29" s="1" t="s">
        <v>84</v>
      </c>
      <c r="E29" s="1" t="s">
        <v>109</v>
      </c>
      <c r="F29" s="1" t="s">
        <v>108</v>
      </c>
      <c r="G29" s="1"/>
      <c r="H29" s="1"/>
      <c r="I29" s="2">
        <v>1520000</v>
      </c>
      <c r="J29" s="2">
        <v>0</v>
      </c>
      <c r="K29" s="2" t="s">
        <v>140</v>
      </c>
      <c r="L29" s="2" t="s">
        <v>88</v>
      </c>
      <c r="M29" s="2" t="s">
        <v>89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1" t="s">
        <v>127</v>
      </c>
      <c r="B30" s="1" t="s">
        <v>82</v>
      </c>
      <c r="C30" s="1" t="s">
        <v>108</v>
      </c>
      <c r="D30" s="1" t="s">
        <v>84</v>
      </c>
      <c r="E30" s="1" t="s">
        <v>109</v>
      </c>
      <c r="F30" s="1" t="s">
        <v>108</v>
      </c>
      <c r="G30" s="1"/>
      <c r="H30" s="1"/>
      <c r="I30" s="2">
        <v>1520000</v>
      </c>
      <c r="J30" s="2">
        <v>0</v>
      </c>
      <c r="K30" s="2" t="s">
        <v>137</v>
      </c>
      <c r="L30" s="2" t="s">
        <v>88</v>
      </c>
      <c r="M30" s="2" t="s">
        <v>89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1" t="s">
        <v>127</v>
      </c>
      <c r="B31" s="1" t="s">
        <v>82</v>
      </c>
      <c r="C31" s="1" t="s">
        <v>108</v>
      </c>
      <c r="D31" s="1" t="s">
        <v>84</v>
      </c>
      <c r="E31" s="1" t="s">
        <v>109</v>
      </c>
      <c r="F31" s="1" t="s">
        <v>108</v>
      </c>
      <c r="G31" s="1"/>
      <c r="H31" s="1"/>
      <c r="I31" s="2">
        <v>1520000</v>
      </c>
      <c r="J31" s="2">
        <v>0</v>
      </c>
      <c r="K31" s="2" t="s">
        <v>128</v>
      </c>
      <c r="L31" s="2" t="s">
        <v>88</v>
      </c>
      <c r="M31" s="2" t="s">
        <v>89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1" t="s">
        <v>127</v>
      </c>
      <c r="B32" s="1" t="s">
        <v>82</v>
      </c>
      <c r="C32" s="1" t="s">
        <v>112</v>
      </c>
      <c r="D32" s="1" t="s">
        <v>84</v>
      </c>
      <c r="E32" s="1" t="s">
        <v>109</v>
      </c>
      <c r="F32" s="1" t="s">
        <v>112</v>
      </c>
      <c r="G32" s="1"/>
      <c r="H32" s="1"/>
      <c r="I32" s="2">
        <v>1520000</v>
      </c>
      <c r="J32" s="2">
        <v>0</v>
      </c>
      <c r="K32" s="2" t="s">
        <v>87</v>
      </c>
      <c r="L32" s="2" t="s">
        <v>88</v>
      </c>
      <c r="M32" s="2" t="s">
        <v>89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 t="s">
        <v>127</v>
      </c>
      <c r="B33" s="1" t="s">
        <v>82</v>
      </c>
      <c r="C33" s="1" t="s">
        <v>112</v>
      </c>
      <c r="D33" s="1" t="s">
        <v>84</v>
      </c>
      <c r="E33" s="1" t="s">
        <v>109</v>
      </c>
      <c r="F33" s="1" t="s">
        <v>112</v>
      </c>
      <c r="G33" s="1"/>
      <c r="H33" s="1"/>
      <c r="I33" s="2">
        <v>1520000</v>
      </c>
      <c r="J33" s="2">
        <v>0</v>
      </c>
      <c r="K33" s="2" t="s">
        <v>140</v>
      </c>
      <c r="L33" s="2" t="s">
        <v>88</v>
      </c>
      <c r="M33" s="2" t="s">
        <v>89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1" t="s">
        <v>127</v>
      </c>
      <c r="B34" s="1" t="s">
        <v>82</v>
      </c>
      <c r="C34" s="1" t="s">
        <v>112</v>
      </c>
      <c r="D34" s="1" t="s">
        <v>84</v>
      </c>
      <c r="E34" s="1" t="s">
        <v>109</v>
      </c>
      <c r="F34" s="1" t="s">
        <v>112</v>
      </c>
      <c r="G34" s="1"/>
      <c r="H34" s="1"/>
      <c r="I34" s="2">
        <v>1520000</v>
      </c>
      <c r="J34" s="2">
        <v>0</v>
      </c>
      <c r="K34" s="2" t="s">
        <v>137</v>
      </c>
      <c r="L34" s="2" t="s">
        <v>88</v>
      </c>
      <c r="M34" s="2" t="s">
        <v>89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" t="s">
        <v>127</v>
      </c>
      <c r="B35" s="1" t="s">
        <v>82</v>
      </c>
      <c r="C35" s="1" t="s">
        <v>112</v>
      </c>
      <c r="D35" s="1" t="s">
        <v>84</v>
      </c>
      <c r="E35" s="1" t="s">
        <v>109</v>
      </c>
      <c r="F35" s="1" t="s">
        <v>112</v>
      </c>
      <c r="G35" s="1"/>
      <c r="H35" s="1"/>
      <c r="I35" s="2">
        <v>1520000</v>
      </c>
      <c r="J35" s="2">
        <v>0</v>
      </c>
      <c r="K35" s="2" t="s">
        <v>87</v>
      </c>
      <c r="L35" s="2" t="s">
        <v>88</v>
      </c>
      <c r="M35" s="2" t="s">
        <v>89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1" t="s">
        <v>127</v>
      </c>
      <c r="B36" s="1" t="s">
        <v>82</v>
      </c>
      <c r="C36" s="1" t="s">
        <v>108</v>
      </c>
      <c r="D36" s="1" t="s">
        <v>84</v>
      </c>
      <c r="E36" s="1" t="s">
        <v>109</v>
      </c>
      <c r="F36" s="1" t="s">
        <v>108</v>
      </c>
      <c r="G36" s="1"/>
      <c r="H36" s="1"/>
      <c r="I36" s="2">
        <v>1520000</v>
      </c>
      <c r="J36" s="2">
        <v>0</v>
      </c>
      <c r="K36" s="2" t="s">
        <v>87</v>
      </c>
      <c r="L36" s="2" t="s">
        <v>88</v>
      </c>
      <c r="M36" s="2" t="s">
        <v>89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1" t="s">
        <v>127</v>
      </c>
      <c r="B37" s="1" t="s">
        <v>82</v>
      </c>
      <c r="C37" s="1" t="s">
        <v>108</v>
      </c>
      <c r="D37" s="1" t="s">
        <v>84</v>
      </c>
      <c r="E37" s="1" t="s">
        <v>109</v>
      </c>
      <c r="F37" s="1" t="s">
        <v>108</v>
      </c>
      <c r="G37" s="1"/>
      <c r="H37" s="1"/>
      <c r="I37" s="2">
        <v>1520000</v>
      </c>
      <c r="J37" s="2">
        <v>0</v>
      </c>
      <c r="K37" s="2" t="s">
        <v>140</v>
      </c>
      <c r="L37" s="2" t="s">
        <v>88</v>
      </c>
      <c r="M37" s="2" t="s">
        <v>89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1" t="s">
        <v>127</v>
      </c>
      <c r="B38" s="1" t="s">
        <v>82</v>
      </c>
      <c r="C38" s="1" t="s">
        <v>108</v>
      </c>
      <c r="D38" s="1" t="s">
        <v>84</v>
      </c>
      <c r="E38" s="1" t="s">
        <v>109</v>
      </c>
      <c r="F38" s="1" t="s">
        <v>108</v>
      </c>
      <c r="G38" s="1"/>
      <c r="H38" s="1"/>
      <c r="I38" s="2">
        <v>1520000</v>
      </c>
      <c r="J38" s="2">
        <v>0</v>
      </c>
      <c r="K38" s="2" t="s">
        <v>137</v>
      </c>
      <c r="L38" s="2" t="s">
        <v>88</v>
      </c>
      <c r="M38" s="2" t="s">
        <v>89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1" t="s">
        <v>127</v>
      </c>
      <c r="B39" s="1" t="s">
        <v>82</v>
      </c>
      <c r="C39" s="1" t="s">
        <v>103</v>
      </c>
      <c r="D39" s="1" t="s">
        <v>97</v>
      </c>
      <c r="E39" s="1" t="s">
        <v>103</v>
      </c>
      <c r="F39" s="1"/>
      <c r="G39" s="1"/>
      <c r="H39" s="1"/>
      <c r="I39" s="2">
        <v>1520000</v>
      </c>
      <c r="J39" s="2">
        <v>0</v>
      </c>
      <c r="K39" s="2" t="s">
        <v>128</v>
      </c>
      <c r="L39" s="2" t="s">
        <v>88</v>
      </c>
      <c r="M39" s="2" t="s">
        <v>89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1" t="s">
        <v>127</v>
      </c>
      <c r="B40" s="1" t="s">
        <v>82</v>
      </c>
      <c r="C40" s="1" t="s">
        <v>121</v>
      </c>
      <c r="D40" s="1" t="s">
        <v>84</v>
      </c>
      <c r="E40" s="1" t="s">
        <v>109</v>
      </c>
      <c r="F40" s="1" t="s">
        <v>121</v>
      </c>
      <c r="G40" s="1"/>
      <c r="H40" s="1"/>
      <c r="I40" s="2">
        <v>33000</v>
      </c>
      <c r="J40" s="2">
        <v>0</v>
      </c>
      <c r="K40" s="2" t="s">
        <v>139</v>
      </c>
      <c r="L40" s="2" t="s">
        <v>88</v>
      </c>
      <c r="M40" s="2" t="s">
        <v>89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1" t="s">
        <v>127</v>
      </c>
      <c r="B41" s="1" t="s">
        <v>82</v>
      </c>
      <c r="C41" s="1" t="s">
        <v>108</v>
      </c>
      <c r="D41" s="1" t="s">
        <v>84</v>
      </c>
      <c r="E41" s="1" t="s">
        <v>109</v>
      </c>
      <c r="F41" s="1" t="s">
        <v>108</v>
      </c>
      <c r="G41" s="1"/>
      <c r="H41" s="1"/>
      <c r="I41" s="2">
        <v>1520000</v>
      </c>
      <c r="J41" s="2">
        <v>0</v>
      </c>
      <c r="K41" s="2" t="s">
        <v>87</v>
      </c>
      <c r="L41" s="2" t="s">
        <v>88</v>
      </c>
      <c r="M41" s="2" t="s">
        <v>89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1" t="s">
        <v>127</v>
      </c>
      <c r="B42" s="1" t="s">
        <v>82</v>
      </c>
      <c r="C42" s="1" t="s">
        <v>108</v>
      </c>
      <c r="D42" s="1" t="s">
        <v>84</v>
      </c>
      <c r="E42" s="1" t="s">
        <v>109</v>
      </c>
      <c r="F42" s="1" t="s">
        <v>108</v>
      </c>
      <c r="G42" s="1"/>
      <c r="H42" s="1"/>
      <c r="I42" s="2">
        <v>1520000</v>
      </c>
      <c r="J42" s="2">
        <v>0</v>
      </c>
      <c r="K42" s="2" t="s">
        <v>128</v>
      </c>
      <c r="L42" s="2" t="s">
        <v>88</v>
      </c>
      <c r="M42" s="2" t="s">
        <v>89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1" t="s">
        <v>127</v>
      </c>
      <c r="B43" s="1" t="s">
        <v>82</v>
      </c>
      <c r="C43" s="1" t="s">
        <v>108</v>
      </c>
      <c r="D43" s="1" t="s">
        <v>84</v>
      </c>
      <c r="E43" s="1" t="s">
        <v>109</v>
      </c>
      <c r="F43" s="1" t="s">
        <v>108</v>
      </c>
      <c r="G43" s="1"/>
      <c r="H43" s="1"/>
      <c r="I43" s="2">
        <v>1520000</v>
      </c>
      <c r="J43" s="2">
        <v>0</v>
      </c>
      <c r="K43" s="2" t="s">
        <v>87</v>
      </c>
      <c r="L43" s="2" t="s">
        <v>88</v>
      </c>
      <c r="M43" s="2" t="s">
        <v>89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1" t="s">
        <v>127</v>
      </c>
      <c r="B44" s="1" t="s">
        <v>82</v>
      </c>
      <c r="C44" s="1" t="s">
        <v>103</v>
      </c>
      <c r="D44" s="1" t="s">
        <v>97</v>
      </c>
      <c r="E44" s="1" t="s">
        <v>103</v>
      </c>
      <c r="F44" s="1"/>
      <c r="G44" s="1"/>
      <c r="H44" s="1"/>
      <c r="I44" s="2">
        <v>1520000</v>
      </c>
      <c r="J44" s="2">
        <v>0</v>
      </c>
      <c r="K44" s="2" t="s">
        <v>140</v>
      </c>
      <c r="L44" s="2" t="s">
        <v>88</v>
      </c>
      <c r="M44" s="2" t="s">
        <v>89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t="s">
        <v>127</v>
      </c>
      <c r="B45" t="s">
        <v>82</v>
      </c>
      <c r="C45" t="s">
        <v>113</v>
      </c>
      <c r="D45" t="s">
        <v>84</v>
      </c>
      <c r="E45" t="s">
        <v>85</v>
      </c>
      <c r="F45" t="s">
        <v>86</v>
      </c>
      <c r="G45" t="s">
        <v>113</v>
      </c>
      <c r="I45">
        <v>0</v>
      </c>
      <c r="J45" s="2">
        <v>1900000</v>
      </c>
      <c r="K45" s="2" t="s">
        <v>87</v>
      </c>
      <c r="L45" t="s">
        <v>88</v>
      </c>
      <c r="M45" t="s">
        <v>89</v>
      </c>
    </row>
    <row r="46" spans="1:24" x14ac:dyDescent="0.25">
      <c r="A46" t="s">
        <v>127</v>
      </c>
      <c r="B46" t="s">
        <v>82</v>
      </c>
      <c r="C46" t="s">
        <v>113</v>
      </c>
      <c r="D46" t="s">
        <v>84</v>
      </c>
      <c r="E46" t="s">
        <v>85</v>
      </c>
      <c r="F46" t="s">
        <v>86</v>
      </c>
      <c r="G46" t="s">
        <v>113</v>
      </c>
      <c r="I46">
        <v>0</v>
      </c>
      <c r="J46" s="2">
        <v>1900000</v>
      </c>
      <c r="K46" s="2" t="s">
        <v>140</v>
      </c>
      <c r="L46" t="s">
        <v>88</v>
      </c>
      <c r="M46" t="s">
        <v>89</v>
      </c>
    </row>
    <row r="47" spans="1:24" x14ac:dyDescent="0.25">
      <c r="A47" t="s">
        <v>127</v>
      </c>
      <c r="B47" t="s">
        <v>82</v>
      </c>
      <c r="C47" t="s">
        <v>113</v>
      </c>
      <c r="D47" t="s">
        <v>84</v>
      </c>
      <c r="E47" t="s">
        <v>85</v>
      </c>
      <c r="F47" t="s">
        <v>86</v>
      </c>
      <c r="G47" t="s">
        <v>113</v>
      </c>
      <c r="I47">
        <v>0</v>
      </c>
      <c r="J47" s="2">
        <v>1900000</v>
      </c>
      <c r="K47" s="2" t="s">
        <v>137</v>
      </c>
      <c r="L47" t="s">
        <v>88</v>
      </c>
      <c r="M47" t="s">
        <v>89</v>
      </c>
    </row>
    <row r="48" spans="1:24" x14ac:dyDescent="0.25">
      <c r="A48" t="s">
        <v>127</v>
      </c>
      <c r="B48" t="s">
        <v>82</v>
      </c>
      <c r="C48" t="s">
        <v>113</v>
      </c>
      <c r="D48" t="s">
        <v>84</v>
      </c>
      <c r="E48" t="s">
        <v>85</v>
      </c>
      <c r="F48" t="s">
        <v>86</v>
      </c>
      <c r="G48" t="s">
        <v>113</v>
      </c>
      <c r="I48">
        <v>0</v>
      </c>
      <c r="J48" s="2">
        <v>1900000</v>
      </c>
      <c r="K48" s="2" t="s">
        <v>128</v>
      </c>
      <c r="L48" t="s">
        <v>88</v>
      </c>
      <c r="M48" t="s">
        <v>89</v>
      </c>
    </row>
    <row r="49" spans="1:13" x14ac:dyDescent="0.25">
      <c r="A49" t="s">
        <v>127</v>
      </c>
      <c r="B49" t="s">
        <v>82</v>
      </c>
      <c r="C49" t="s">
        <v>117</v>
      </c>
      <c r="D49" t="s">
        <v>84</v>
      </c>
      <c r="E49" t="s">
        <v>85</v>
      </c>
      <c r="F49" t="s">
        <v>86</v>
      </c>
      <c r="G49" t="s">
        <v>117</v>
      </c>
      <c r="I49">
        <v>0</v>
      </c>
      <c r="J49" s="2">
        <v>2900000</v>
      </c>
      <c r="K49" s="2" t="s">
        <v>87</v>
      </c>
      <c r="L49" t="s">
        <v>88</v>
      </c>
      <c r="M49" t="s">
        <v>89</v>
      </c>
    </row>
    <row r="50" spans="1:13" x14ac:dyDescent="0.25">
      <c r="A50" t="s">
        <v>127</v>
      </c>
      <c r="B50" t="s">
        <v>82</v>
      </c>
      <c r="C50" t="s">
        <v>115</v>
      </c>
      <c r="D50" t="s">
        <v>84</v>
      </c>
      <c r="E50" t="s">
        <v>85</v>
      </c>
      <c r="F50" t="s">
        <v>86</v>
      </c>
      <c r="G50" t="s">
        <v>115</v>
      </c>
      <c r="I50">
        <v>0</v>
      </c>
      <c r="J50" s="2">
        <v>20000</v>
      </c>
      <c r="K50" s="61" t="s">
        <v>137</v>
      </c>
      <c r="L50" t="s">
        <v>88</v>
      </c>
      <c r="M50" t="s">
        <v>89</v>
      </c>
    </row>
    <row r="51" spans="1:13" x14ac:dyDescent="0.25">
      <c r="A51" t="s">
        <v>127</v>
      </c>
      <c r="B51" t="s">
        <v>82</v>
      </c>
      <c r="C51" t="s">
        <v>83</v>
      </c>
      <c r="D51" t="s">
        <v>84</v>
      </c>
      <c r="E51" t="s">
        <v>85</v>
      </c>
      <c r="F51" t="s">
        <v>86</v>
      </c>
      <c r="G51" t="s">
        <v>83</v>
      </c>
      <c r="I51">
        <v>0</v>
      </c>
      <c r="J51" s="2">
        <v>9900000</v>
      </c>
      <c r="K51" s="2" t="s">
        <v>128</v>
      </c>
      <c r="L51" t="s">
        <v>88</v>
      </c>
      <c r="M51" t="s">
        <v>89</v>
      </c>
    </row>
    <row r="52" spans="1:13" x14ac:dyDescent="0.25">
      <c r="A52" t="s">
        <v>127</v>
      </c>
      <c r="B52" t="s">
        <v>82</v>
      </c>
      <c r="C52" t="s">
        <v>113</v>
      </c>
      <c r="D52" t="s">
        <v>84</v>
      </c>
      <c r="E52" t="s">
        <v>85</v>
      </c>
      <c r="F52" t="s">
        <v>86</v>
      </c>
      <c r="G52" t="s">
        <v>113</v>
      </c>
      <c r="I52">
        <v>0</v>
      </c>
      <c r="J52" s="2">
        <v>1900000</v>
      </c>
      <c r="K52" s="2" t="s">
        <v>87</v>
      </c>
      <c r="L52" t="s">
        <v>88</v>
      </c>
      <c r="M52" t="s">
        <v>89</v>
      </c>
    </row>
    <row r="53" spans="1:13" x14ac:dyDescent="0.25">
      <c r="A53" t="s">
        <v>127</v>
      </c>
      <c r="B53" t="s">
        <v>82</v>
      </c>
      <c r="C53" t="s">
        <v>113</v>
      </c>
      <c r="D53" t="s">
        <v>84</v>
      </c>
      <c r="E53" t="s">
        <v>85</v>
      </c>
      <c r="F53" t="s">
        <v>86</v>
      </c>
      <c r="G53" t="s">
        <v>113</v>
      </c>
      <c r="I53">
        <v>0</v>
      </c>
      <c r="J53" s="2">
        <v>1900000</v>
      </c>
      <c r="K53" s="2" t="s">
        <v>140</v>
      </c>
      <c r="L53" t="s">
        <v>88</v>
      </c>
      <c r="M53" t="s">
        <v>89</v>
      </c>
    </row>
    <row r="54" spans="1:13" x14ac:dyDescent="0.25">
      <c r="A54" t="s">
        <v>127</v>
      </c>
      <c r="B54" t="s">
        <v>82</v>
      </c>
      <c r="C54" t="s">
        <v>113</v>
      </c>
      <c r="D54" t="s">
        <v>84</v>
      </c>
      <c r="E54" t="s">
        <v>85</v>
      </c>
      <c r="F54" t="s">
        <v>86</v>
      </c>
      <c r="G54" t="s">
        <v>113</v>
      </c>
      <c r="I54">
        <v>0</v>
      </c>
      <c r="J54" s="2">
        <v>1900000</v>
      </c>
      <c r="K54" s="2" t="s">
        <v>87</v>
      </c>
      <c r="L54" t="s">
        <v>88</v>
      </c>
      <c r="M54" t="s">
        <v>89</v>
      </c>
    </row>
    <row r="55" spans="1:13" x14ac:dyDescent="0.25">
      <c r="A55" t="s">
        <v>127</v>
      </c>
      <c r="B55" t="s">
        <v>82</v>
      </c>
      <c r="C55" t="s">
        <v>113</v>
      </c>
      <c r="D55" t="s">
        <v>84</v>
      </c>
      <c r="E55" t="s">
        <v>85</v>
      </c>
      <c r="F55" t="s">
        <v>86</v>
      </c>
      <c r="G55" t="s">
        <v>113</v>
      </c>
      <c r="I55">
        <v>0</v>
      </c>
      <c r="J55" s="2">
        <v>8900000</v>
      </c>
      <c r="K55" s="2" t="s">
        <v>140</v>
      </c>
      <c r="L55" t="s">
        <v>88</v>
      </c>
      <c r="M55" t="s">
        <v>89</v>
      </c>
    </row>
    <row r="56" spans="1:13" x14ac:dyDescent="0.25">
      <c r="A56" t="s">
        <v>127</v>
      </c>
      <c r="B56" t="s">
        <v>82</v>
      </c>
      <c r="C56" t="s">
        <v>113</v>
      </c>
      <c r="D56" t="s">
        <v>84</v>
      </c>
      <c r="E56" t="s">
        <v>85</v>
      </c>
      <c r="F56" t="s">
        <v>86</v>
      </c>
      <c r="G56" t="s">
        <v>113</v>
      </c>
      <c r="I56">
        <v>0</v>
      </c>
      <c r="J56" s="2">
        <v>1900000</v>
      </c>
      <c r="K56" s="2" t="s">
        <v>137</v>
      </c>
      <c r="L56" t="s">
        <v>88</v>
      </c>
      <c r="M56" t="s">
        <v>89</v>
      </c>
    </row>
    <row r="57" spans="1:13" x14ac:dyDescent="0.25">
      <c r="A57" t="s">
        <v>127</v>
      </c>
      <c r="B57" t="s">
        <v>82</v>
      </c>
      <c r="C57" t="s">
        <v>113</v>
      </c>
      <c r="D57" t="s">
        <v>84</v>
      </c>
      <c r="E57" t="s">
        <v>85</v>
      </c>
      <c r="F57" t="s">
        <v>86</v>
      </c>
      <c r="G57" t="s">
        <v>113</v>
      </c>
      <c r="I57">
        <v>0</v>
      </c>
      <c r="J57" s="2">
        <v>1900000</v>
      </c>
      <c r="K57" s="2" t="s">
        <v>128</v>
      </c>
      <c r="L57" t="s">
        <v>88</v>
      </c>
      <c r="M57" t="s">
        <v>89</v>
      </c>
    </row>
    <row r="58" spans="1:13" x14ac:dyDescent="0.25">
      <c r="A58" t="s">
        <v>127</v>
      </c>
      <c r="B58" t="s">
        <v>82</v>
      </c>
      <c r="C58" t="s">
        <v>113</v>
      </c>
      <c r="D58" t="s">
        <v>84</v>
      </c>
      <c r="E58" t="s">
        <v>85</v>
      </c>
      <c r="F58" t="s">
        <v>86</v>
      </c>
      <c r="G58" t="s">
        <v>113</v>
      </c>
      <c r="I58">
        <v>0</v>
      </c>
      <c r="J58" s="2">
        <v>1900000</v>
      </c>
      <c r="K58" s="2" t="s">
        <v>87</v>
      </c>
      <c r="L58" t="s">
        <v>88</v>
      </c>
      <c r="M58" t="s">
        <v>89</v>
      </c>
    </row>
    <row r="59" spans="1:13" x14ac:dyDescent="0.25">
      <c r="A59" t="s">
        <v>127</v>
      </c>
      <c r="B59" t="s">
        <v>82</v>
      </c>
      <c r="C59" t="s">
        <v>99</v>
      </c>
      <c r="D59" t="s">
        <v>97</v>
      </c>
      <c r="E59" t="s">
        <v>100</v>
      </c>
      <c r="F59" t="s">
        <v>99</v>
      </c>
      <c r="I59" s="2">
        <v>12300</v>
      </c>
      <c r="J59">
        <v>0</v>
      </c>
      <c r="K59" s="2" t="s">
        <v>134</v>
      </c>
      <c r="L59" t="s">
        <v>88</v>
      </c>
      <c r="M59" t="s">
        <v>89</v>
      </c>
    </row>
    <row r="60" spans="1:13" x14ac:dyDescent="0.25">
      <c r="A60" t="s">
        <v>127</v>
      </c>
      <c r="B60" t="s">
        <v>82</v>
      </c>
      <c r="C60" t="s">
        <v>102</v>
      </c>
      <c r="D60" t="s">
        <v>97</v>
      </c>
      <c r="E60" t="s">
        <v>100</v>
      </c>
      <c r="F60" t="s">
        <v>102</v>
      </c>
      <c r="I60" s="2">
        <v>8000</v>
      </c>
      <c r="J60">
        <v>0</v>
      </c>
      <c r="K60" s="61" t="s">
        <v>142</v>
      </c>
      <c r="L60" t="s">
        <v>88</v>
      </c>
      <c r="M60" t="s">
        <v>89</v>
      </c>
    </row>
    <row r="61" spans="1:13" x14ac:dyDescent="0.25">
      <c r="A61" t="s">
        <v>127</v>
      </c>
      <c r="B61" t="s">
        <v>82</v>
      </c>
      <c r="C61" t="s">
        <v>118</v>
      </c>
      <c r="D61" t="s">
        <v>97</v>
      </c>
      <c r="E61" t="s">
        <v>100</v>
      </c>
      <c r="F61" t="s">
        <v>118</v>
      </c>
      <c r="I61" s="2">
        <v>4000</v>
      </c>
      <c r="J61">
        <v>0</v>
      </c>
      <c r="K61" s="61" t="s">
        <v>137</v>
      </c>
      <c r="L61" t="s">
        <v>88</v>
      </c>
      <c r="M61" t="s">
        <v>89</v>
      </c>
    </row>
    <row r="62" spans="1:13" x14ac:dyDescent="0.25">
      <c r="A62" t="s">
        <v>127</v>
      </c>
      <c r="B62" t="s">
        <v>82</v>
      </c>
      <c r="C62" t="s">
        <v>118</v>
      </c>
      <c r="D62" t="s">
        <v>97</v>
      </c>
      <c r="E62" t="s">
        <v>100</v>
      </c>
      <c r="F62" t="s">
        <v>118</v>
      </c>
      <c r="I62" s="2">
        <v>4300</v>
      </c>
      <c r="J62">
        <v>0</v>
      </c>
      <c r="K62" s="2" t="s">
        <v>134</v>
      </c>
      <c r="L62" t="s">
        <v>88</v>
      </c>
      <c r="M62" t="s">
        <v>89</v>
      </c>
    </row>
    <row r="63" spans="1:13" x14ac:dyDescent="0.25">
      <c r="A63" t="s">
        <v>127</v>
      </c>
      <c r="B63" t="s">
        <v>82</v>
      </c>
      <c r="C63" t="s">
        <v>101</v>
      </c>
      <c r="D63" t="s">
        <v>97</v>
      </c>
      <c r="E63" t="s">
        <v>100</v>
      </c>
      <c r="F63" t="s">
        <v>101</v>
      </c>
      <c r="I63">
        <v>0</v>
      </c>
      <c r="J63" s="2">
        <v>14000</v>
      </c>
      <c r="K63" s="2" t="s">
        <v>143</v>
      </c>
      <c r="L63" t="s">
        <v>88</v>
      </c>
      <c r="M63" t="s">
        <v>89</v>
      </c>
    </row>
    <row r="64" spans="1:13" x14ac:dyDescent="0.25">
      <c r="A64" t="s">
        <v>127</v>
      </c>
      <c r="B64" t="s">
        <v>82</v>
      </c>
      <c r="C64" t="s">
        <v>107</v>
      </c>
      <c r="D64" t="s">
        <v>97</v>
      </c>
      <c r="E64" t="s">
        <v>100</v>
      </c>
      <c r="F64" t="s">
        <v>107</v>
      </c>
      <c r="I64">
        <v>0</v>
      </c>
      <c r="J64" s="2">
        <v>3000</v>
      </c>
      <c r="K64" s="61" t="s">
        <v>138</v>
      </c>
      <c r="L64" t="s">
        <v>88</v>
      </c>
      <c r="M64" t="s">
        <v>89</v>
      </c>
    </row>
    <row r="65" spans="1:13" x14ac:dyDescent="0.25">
      <c r="A65" t="s">
        <v>127</v>
      </c>
      <c r="B65" t="s">
        <v>82</v>
      </c>
      <c r="C65" t="s">
        <v>119</v>
      </c>
      <c r="D65" t="s">
        <v>97</v>
      </c>
      <c r="E65" t="s">
        <v>100</v>
      </c>
      <c r="F65" t="s">
        <v>119</v>
      </c>
      <c r="I65">
        <v>0</v>
      </c>
      <c r="J65" s="2">
        <v>5000</v>
      </c>
      <c r="K65" s="61" t="s">
        <v>137</v>
      </c>
      <c r="L65" t="s">
        <v>88</v>
      </c>
      <c r="M65" t="s">
        <v>89</v>
      </c>
    </row>
    <row r="66" spans="1:13" x14ac:dyDescent="0.25">
      <c r="A66" t="s">
        <v>127</v>
      </c>
      <c r="B66" t="s">
        <v>82</v>
      </c>
      <c r="C66" t="s">
        <v>119</v>
      </c>
      <c r="D66" t="s">
        <v>97</v>
      </c>
      <c r="E66" t="s">
        <v>100</v>
      </c>
      <c r="F66" t="s">
        <v>119</v>
      </c>
      <c r="I66">
        <v>0</v>
      </c>
      <c r="J66" s="2">
        <v>7000</v>
      </c>
      <c r="K66" s="61" t="s">
        <v>134</v>
      </c>
      <c r="L66" t="s">
        <v>88</v>
      </c>
      <c r="M66" t="s">
        <v>89</v>
      </c>
    </row>
    <row r="67" spans="1:13" x14ac:dyDescent="0.25">
      <c r="A67" t="s">
        <v>127</v>
      </c>
      <c r="B67" t="s">
        <v>82</v>
      </c>
      <c r="C67" t="s">
        <v>106</v>
      </c>
      <c r="D67" t="s">
        <v>97</v>
      </c>
      <c r="E67" t="s">
        <v>105</v>
      </c>
      <c r="F67" t="s">
        <v>106</v>
      </c>
      <c r="I67" s="2">
        <v>580000</v>
      </c>
      <c r="J67">
        <v>0</v>
      </c>
      <c r="K67" s="2" t="s">
        <v>142</v>
      </c>
      <c r="L67" t="s">
        <v>88</v>
      </c>
      <c r="M67" t="s">
        <v>89</v>
      </c>
    </row>
    <row r="68" spans="1:13" x14ac:dyDescent="0.25">
      <c r="A68" t="s">
        <v>127</v>
      </c>
      <c r="B68" t="s">
        <v>82</v>
      </c>
      <c r="C68" t="s">
        <v>110</v>
      </c>
      <c r="D68" t="s">
        <v>97</v>
      </c>
      <c r="E68" t="s">
        <v>98</v>
      </c>
      <c r="F68" t="s">
        <v>110</v>
      </c>
      <c r="I68" s="2">
        <v>50000</v>
      </c>
      <c r="J68">
        <v>0</v>
      </c>
      <c r="K68" s="2" t="s">
        <v>138</v>
      </c>
      <c r="L68" t="s">
        <v>88</v>
      </c>
      <c r="M68" t="s">
        <v>89</v>
      </c>
    </row>
    <row r="69" spans="1:13" x14ac:dyDescent="0.25">
      <c r="A69" t="s">
        <v>127</v>
      </c>
      <c r="B69" t="s">
        <v>82</v>
      </c>
      <c r="C69" t="s">
        <v>111</v>
      </c>
      <c r="D69" t="s">
        <v>97</v>
      </c>
      <c r="E69" t="s">
        <v>98</v>
      </c>
      <c r="F69" t="s">
        <v>111</v>
      </c>
      <c r="I69">
        <v>0</v>
      </c>
      <c r="J69" s="2">
        <v>20000</v>
      </c>
      <c r="K69" s="2" t="s">
        <v>143</v>
      </c>
      <c r="L69" t="s">
        <v>88</v>
      </c>
      <c r="M69" t="s">
        <v>89</v>
      </c>
    </row>
    <row r="70" spans="1:13" x14ac:dyDescent="0.25">
      <c r="A70" t="s">
        <v>144</v>
      </c>
      <c r="B70" t="s">
        <v>145</v>
      </c>
      <c r="C70" t="s">
        <v>120</v>
      </c>
      <c r="D70" t="s">
        <v>84</v>
      </c>
      <c r="E70" t="s">
        <v>85</v>
      </c>
      <c r="F70" t="s">
        <v>116</v>
      </c>
      <c r="G70" t="s">
        <v>120</v>
      </c>
      <c r="I70">
        <v>0</v>
      </c>
      <c r="J70" s="2">
        <v>41000</v>
      </c>
      <c r="K70" s="2" t="s">
        <v>146</v>
      </c>
      <c r="L70" t="s">
        <v>88</v>
      </c>
      <c r="M70" t="s">
        <v>89</v>
      </c>
    </row>
    <row r="71" spans="1:13" x14ac:dyDescent="0.25">
      <c r="A71" t="s">
        <v>144</v>
      </c>
      <c r="B71" t="s">
        <v>145</v>
      </c>
      <c r="C71" t="s">
        <v>120</v>
      </c>
      <c r="D71" t="s">
        <v>84</v>
      </c>
      <c r="E71" t="s">
        <v>85</v>
      </c>
      <c r="F71" t="s">
        <v>116</v>
      </c>
      <c r="G71" t="s">
        <v>120</v>
      </c>
      <c r="I71">
        <v>0</v>
      </c>
      <c r="J71" s="2">
        <v>40000</v>
      </c>
      <c r="K71" s="2" t="s">
        <v>147</v>
      </c>
      <c r="L71" t="s">
        <v>88</v>
      </c>
      <c r="M71" t="s">
        <v>89</v>
      </c>
    </row>
    <row r="72" spans="1:13" x14ac:dyDescent="0.25">
      <c r="A72" t="s">
        <v>144</v>
      </c>
      <c r="B72" t="s">
        <v>145</v>
      </c>
      <c r="C72" t="s">
        <v>133</v>
      </c>
      <c r="D72" t="s">
        <v>84</v>
      </c>
      <c r="E72" t="s">
        <v>85</v>
      </c>
      <c r="F72" t="s">
        <v>116</v>
      </c>
      <c r="G72" t="s">
        <v>133</v>
      </c>
      <c r="I72">
        <v>0</v>
      </c>
      <c r="J72" s="2">
        <v>100000</v>
      </c>
      <c r="K72" s="2" t="s">
        <v>148</v>
      </c>
      <c r="L72" t="s">
        <v>88</v>
      </c>
      <c r="M72" t="s">
        <v>89</v>
      </c>
    </row>
    <row r="73" spans="1:13" x14ac:dyDescent="0.25">
      <c r="A73" t="s">
        <v>144</v>
      </c>
      <c r="B73" t="s">
        <v>145</v>
      </c>
      <c r="C73" t="s">
        <v>135</v>
      </c>
      <c r="D73" t="s">
        <v>84</v>
      </c>
      <c r="E73" t="s">
        <v>85</v>
      </c>
      <c r="F73" t="s">
        <v>116</v>
      </c>
      <c r="G73" t="s">
        <v>135</v>
      </c>
      <c r="I73" s="2">
        <v>78000</v>
      </c>
      <c r="J73" s="2">
        <v>100000</v>
      </c>
      <c r="K73" s="2" t="s">
        <v>148</v>
      </c>
      <c r="L73" t="s">
        <v>88</v>
      </c>
      <c r="M73" t="s">
        <v>89</v>
      </c>
    </row>
    <row r="74" spans="1:13" x14ac:dyDescent="0.25">
      <c r="A74" t="s">
        <v>144</v>
      </c>
      <c r="B74" t="s">
        <v>145</v>
      </c>
      <c r="C74" t="s">
        <v>108</v>
      </c>
      <c r="D74" t="s">
        <v>84</v>
      </c>
      <c r="E74" t="s">
        <v>109</v>
      </c>
      <c r="F74" t="s">
        <v>108</v>
      </c>
      <c r="I74" s="2">
        <v>1120000</v>
      </c>
      <c r="J74">
        <v>0</v>
      </c>
      <c r="K74" s="2" t="s">
        <v>146</v>
      </c>
      <c r="L74" t="s">
        <v>88</v>
      </c>
      <c r="M74" t="s">
        <v>89</v>
      </c>
    </row>
    <row r="75" spans="1:13" x14ac:dyDescent="0.25">
      <c r="A75" t="s">
        <v>144</v>
      </c>
      <c r="B75" t="s">
        <v>145</v>
      </c>
      <c r="C75" t="s">
        <v>108</v>
      </c>
      <c r="D75" t="s">
        <v>84</v>
      </c>
      <c r="E75" t="s">
        <v>109</v>
      </c>
      <c r="F75" t="s">
        <v>108</v>
      </c>
      <c r="I75" s="2">
        <v>1120000</v>
      </c>
      <c r="J75">
        <v>0</v>
      </c>
      <c r="K75" s="2" t="s">
        <v>148</v>
      </c>
      <c r="L75" t="s">
        <v>88</v>
      </c>
      <c r="M75" t="s">
        <v>89</v>
      </c>
    </row>
    <row r="76" spans="1:13" x14ac:dyDescent="0.25">
      <c r="A76" t="s">
        <v>144</v>
      </c>
      <c r="B76" t="s">
        <v>145</v>
      </c>
      <c r="C76" t="s">
        <v>103</v>
      </c>
      <c r="D76" t="s">
        <v>97</v>
      </c>
      <c r="E76" t="s">
        <v>103</v>
      </c>
      <c r="I76" s="2">
        <v>1120000</v>
      </c>
      <c r="J76">
        <v>0</v>
      </c>
      <c r="K76" s="2" t="s">
        <v>147</v>
      </c>
      <c r="L76" t="s">
        <v>88</v>
      </c>
      <c r="M76" t="s">
        <v>89</v>
      </c>
    </row>
    <row r="77" spans="1:13" x14ac:dyDescent="0.25">
      <c r="A77" t="s">
        <v>144</v>
      </c>
      <c r="B77" t="s">
        <v>145</v>
      </c>
      <c r="C77" t="s">
        <v>108</v>
      </c>
      <c r="D77" t="s">
        <v>84</v>
      </c>
      <c r="E77" t="s">
        <v>109</v>
      </c>
      <c r="F77" t="s">
        <v>108</v>
      </c>
      <c r="I77" s="2">
        <v>1120000</v>
      </c>
      <c r="J77">
        <v>0</v>
      </c>
      <c r="K77" s="2" t="s">
        <v>146</v>
      </c>
      <c r="L77" t="s">
        <v>88</v>
      </c>
      <c r="M77" t="s">
        <v>89</v>
      </c>
    </row>
    <row r="78" spans="1:13" x14ac:dyDescent="0.25">
      <c r="A78" t="s">
        <v>144</v>
      </c>
      <c r="B78" t="s">
        <v>145</v>
      </c>
      <c r="C78" t="s">
        <v>108</v>
      </c>
      <c r="D78" t="s">
        <v>84</v>
      </c>
      <c r="E78" t="s">
        <v>109</v>
      </c>
      <c r="F78" t="s">
        <v>108</v>
      </c>
      <c r="I78" s="2">
        <v>1120000</v>
      </c>
      <c r="J78">
        <v>0</v>
      </c>
      <c r="K78" s="2" t="s">
        <v>148</v>
      </c>
      <c r="L78" t="s">
        <v>88</v>
      </c>
      <c r="M78" t="s">
        <v>89</v>
      </c>
    </row>
    <row r="79" spans="1:13" x14ac:dyDescent="0.25">
      <c r="A79" t="s">
        <v>144</v>
      </c>
      <c r="B79" t="s">
        <v>145</v>
      </c>
      <c r="C79" t="s">
        <v>108</v>
      </c>
      <c r="D79" t="s">
        <v>84</v>
      </c>
      <c r="E79" t="s">
        <v>109</v>
      </c>
      <c r="F79" t="s">
        <v>108</v>
      </c>
      <c r="I79" s="2">
        <v>1120000</v>
      </c>
      <c r="J79">
        <v>0</v>
      </c>
      <c r="K79" s="2" t="s">
        <v>147</v>
      </c>
      <c r="L79" t="s">
        <v>88</v>
      </c>
      <c r="M79" t="s">
        <v>89</v>
      </c>
    </row>
    <row r="80" spans="1:13" x14ac:dyDescent="0.25">
      <c r="A80" t="s">
        <v>144</v>
      </c>
      <c r="B80" t="s">
        <v>145</v>
      </c>
      <c r="C80" t="s">
        <v>108</v>
      </c>
      <c r="D80" t="s">
        <v>84</v>
      </c>
      <c r="E80" t="s">
        <v>109</v>
      </c>
      <c r="F80" t="s">
        <v>108</v>
      </c>
      <c r="I80" s="2">
        <v>1120000</v>
      </c>
      <c r="J80">
        <v>0</v>
      </c>
      <c r="K80" s="2" t="s">
        <v>146</v>
      </c>
      <c r="L80" t="s">
        <v>88</v>
      </c>
      <c r="M80" t="s">
        <v>89</v>
      </c>
    </row>
    <row r="81" spans="1:13" x14ac:dyDescent="0.25">
      <c r="A81" t="s">
        <v>144</v>
      </c>
      <c r="B81" t="s">
        <v>145</v>
      </c>
      <c r="C81" t="s">
        <v>108</v>
      </c>
      <c r="D81" t="s">
        <v>84</v>
      </c>
      <c r="E81" t="s">
        <v>109</v>
      </c>
      <c r="F81" t="s">
        <v>108</v>
      </c>
      <c r="I81" s="2">
        <v>1120000</v>
      </c>
      <c r="J81">
        <v>0</v>
      </c>
      <c r="K81" s="2" t="s">
        <v>148</v>
      </c>
      <c r="L81" t="s">
        <v>88</v>
      </c>
      <c r="M81" t="s">
        <v>89</v>
      </c>
    </row>
    <row r="82" spans="1:13" x14ac:dyDescent="0.25">
      <c r="A82" t="s">
        <v>144</v>
      </c>
      <c r="B82" t="s">
        <v>145</v>
      </c>
      <c r="C82" t="s">
        <v>108</v>
      </c>
      <c r="D82" t="s">
        <v>84</v>
      </c>
      <c r="E82" t="s">
        <v>109</v>
      </c>
      <c r="F82" t="s">
        <v>108</v>
      </c>
      <c r="I82" s="2">
        <v>1120000</v>
      </c>
      <c r="J82">
        <v>0</v>
      </c>
      <c r="K82" s="2" t="s">
        <v>147</v>
      </c>
      <c r="L82" t="s">
        <v>88</v>
      </c>
      <c r="M82" t="s">
        <v>89</v>
      </c>
    </row>
    <row r="83" spans="1:13" x14ac:dyDescent="0.25">
      <c r="A83" t="s">
        <v>144</v>
      </c>
      <c r="B83" t="s">
        <v>145</v>
      </c>
      <c r="C83" t="s">
        <v>112</v>
      </c>
      <c r="D83" t="s">
        <v>84</v>
      </c>
      <c r="E83" t="s">
        <v>109</v>
      </c>
      <c r="F83" t="s">
        <v>112</v>
      </c>
      <c r="I83" s="2">
        <v>1120000</v>
      </c>
      <c r="J83">
        <v>0</v>
      </c>
      <c r="K83" s="2" t="s">
        <v>146</v>
      </c>
      <c r="L83" t="s">
        <v>88</v>
      </c>
      <c r="M83" t="s">
        <v>89</v>
      </c>
    </row>
    <row r="84" spans="1:13" x14ac:dyDescent="0.25">
      <c r="A84" t="s">
        <v>144</v>
      </c>
      <c r="B84" t="s">
        <v>145</v>
      </c>
      <c r="C84" t="s">
        <v>112</v>
      </c>
      <c r="D84" t="s">
        <v>84</v>
      </c>
      <c r="E84" t="s">
        <v>109</v>
      </c>
      <c r="F84" t="s">
        <v>112</v>
      </c>
      <c r="I84" s="2">
        <v>1120000</v>
      </c>
      <c r="J84">
        <v>0</v>
      </c>
      <c r="K84" s="2" t="s">
        <v>148</v>
      </c>
      <c r="L84" t="s">
        <v>88</v>
      </c>
      <c r="M84" t="s">
        <v>89</v>
      </c>
    </row>
    <row r="85" spans="1:13" x14ac:dyDescent="0.25">
      <c r="A85" t="s">
        <v>144</v>
      </c>
      <c r="B85" t="s">
        <v>145</v>
      </c>
      <c r="C85" t="s">
        <v>112</v>
      </c>
      <c r="D85" t="s">
        <v>84</v>
      </c>
      <c r="E85" t="s">
        <v>109</v>
      </c>
      <c r="F85" t="s">
        <v>112</v>
      </c>
      <c r="I85" s="2">
        <v>1120000</v>
      </c>
      <c r="J85">
        <v>0</v>
      </c>
      <c r="K85" s="2" t="s">
        <v>147</v>
      </c>
      <c r="L85" t="s">
        <v>88</v>
      </c>
      <c r="M85" t="s">
        <v>89</v>
      </c>
    </row>
    <row r="86" spans="1:13" x14ac:dyDescent="0.25">
      <c r="A86" t="s">
        <v>144</v>
      </c>
      <c r="B86" t="s">
        <v>145</v>
      </c>
      <c r="C86" t="s">
        <v>112</v>
      </c>
      <c r="D86" t="s">
        <v>84</v>
      </c>
      <c r="E86" t="s">
        <v>109</v>
      </c>
      <c r="F86" t="s">
        <v>112</v>
      </c>
      <c r="I86" s="2">
        <v>1120000</v>
      </c>
      <c r="J86">
        <v>0</v>
      </c>
      <c r="K86" s="2" t="s">
        <v>146</v>
      </c>
      <c r="L86" t="s">
        <v>88</v>
      </c>
      <c r="M86" t="s">
        <v>89</v>
      </c>
    </row>
    <row r="87" spans="1:13" x14ac:dyDescent="0.25">
      <c r="A87" t="s">
        <v>144</v>
      </c>
      <c r="B87" t="s">
        <v>145</v>
      </c>
      <c r="C87" t="s">
        <v>108</v>
      </c>
      <c r="D87" t="s">
        <v>84</v>
      </c>
      <c r="E87" t="s">
        <v>109</v>
      </c>
      <c r="F87" t="s">
        <v>108</v>
      </c>
      <c r="I87" s="2">
        <v>1120000</v>
      </c>
      <c r="J87">
        <v>0</v>
      </c>
      <c r="K87" s="2" t="s">
        <v>146</v>
      </c>
      <c r="L87" t="s">
        <v>88</v>
      </c>
      <c r="M87" t="s">
        <v>89</v>
      </c>
    </row>
    <row r="88" spans="1:13" x14ac:dyDescent="0.25">
      <c r="A88" t="s">
        <v>144</v>
      </c>
      <c r="B88" t="s">
        <v>145</v>
      </c>
      <c r="C88" t="s">
        <v>108</v>
      </c>
      <c r="D88" t="s">
        <v>84</v>
      </c>
      <c r="E88" t="s">
        <v>109</v>
      </c>
      <c r="F88" t="s">
        <v>108</v>
      </c>
      <c r="I88" s="2">
        <v>1120000</v>
      </c>
      <c r="J88">
        <v>0</v>
      </c>
      <c r="K88" s="2" t="s">
        <v>148</v>
      </c>
      <c r="L88" t="s">
        <v>88</v>
      </c>
      <c r="M88" t="s">
        <v>89</v>
      </c>
    </row>
    <row r="89" spans="1:13" x14ac:dyDescent="0.25">
      <c r="A89" t="s">
        <v>144</v>
      </c>
      <c r="B89" t="s">
        <v>145</v>
      </c>
      <c r="C89" t="s">
        <v>108</v>
      </c>
      <c r="D89" t="s">
        <v>84</v>
      </c>
      <c r="E89" t="s">
        <v>109</v>
      </c>
      <c r="F89" t="s">
        <v>108</v>
      </c>
      <c r="I89" s="2">
        <v>1120000</v>
      </c>
      <c r="J89">
        <v>0</v>
      </c>
      <c r="K89" s="2" t="s">
        <v>147</v>
      </c>
      <c r="L89" t="s">
        <v>88</v>
      </c>
      <c r="M89" t="s">
        <v>89</v>
      </c>
    </row>
    <row r="90" spans="1:13" x14ac:dyDescent="0.25">
      <c r="A90" t="s">
        <v>144</v>
      </c>
      <c r="B90" t="s">
        <v>145</v>
      </c>
      <c r="C90" t="s">
        <v>108</v>
      </c>
      <c r="D90" t="s">
        <v>84</v>
      </c>
      <c r="E90" t="s">
        <v>109</v>
      </c>
      <c r="F90" t="s">
        <v>108</v>
      </c>
      <c r="I90" s="2">
        <v>1120000</v>
      </c>
      <c r="J90">
        <v>0</v>
      </c>
      <c r="K90" s="2" t="s">
        <v>146</v>
      </c>
      <c r="L90" t="s">
        <v>88</v>
      </c>
      <c r="M90" t="s">
        <v>89</v>
      </c>
    </row>
    <row r="91" spans="1:13" x14ac:dyDescent="0.25">
      <c r="A91" t="s">
        <v>144</v>
      </c>
      <c r="B91" t="s">
        <v>145</v>
      </c>
      <c r="C91" t="s">
        <v>108</v>
      </c>
      <c r="D91" t="s">
        <v>84</v>
      </c>
      <c r="E91" t="s">
        <v>109</v>
      </c>
      <c r="F91" t="s">
        <v>108</v>
      </c>
      <c r="I91" s="2">
        <v>1120000</v>
      </c>
      <c r="J91">
        <v>0</v>
      </c>
      <c r="K91" s="2" t="s">
        <v>146</v>
      </c>
      <c r="L91" t="s">
        <v>88</v>
      </c>
      <c r="M91" t="s">
        <v>89</v>
      </c>
    </row>
    <row r="92" spans="1:13" x14ac:dyDescent="0.25">
      <c r="A92" t="s">
        <v>144</v>
      </c>
      <c r="B92" t="s">
        <v>145</v>
      </c>
      <c r="C92" t="s">
        <v>103</v>
      </c>
      <c r="D92" t="s">
        <v>97</v>
      </c>
      <c r="E92" t="s">
        <v>103</v>
      </c>
      <c r="I92" s="2">
        <v>1120000</v>
      </c>
      <c r="J92">
        <v>0</v>
      </c>
      <c r="K92" s="2" t="s">
        <v>148</v>
      </c>
      <c r="L92" t="s">
        <v>88</v>
      </c>
      <c r="M92" t="s">
        <v>89</v>
      </c>
    </row>
    <row r="93" spans="1:13" x14ac:dyDescent="0.25">
      <c r="A93" t="s">
        <v>144</v>
      </c>
      <c r="B93" t="s">
        <v>145</v>
      </c>
      <c r="C93" t="s">
        <v>113</v>
      </c>
      <c r="D93" t="s">
        <v>84</v>
      </c>
      <c r="E93" t="s">
        <v>85</v>
      </c>
      <c r="F93" t="s">
        <v>86</v>
      </c>
      <c r="G93" t="s">
        <v>113</v>
      </c>
      <c r="I93">
        <v>0</v>
      </c>
      <c r="J93" s="2">
        <v>1400000</v>
      </c>
      <c r="K93" s="2" t="s">
        <v>146</v>
      </c>
      <c r="L93" t="s">
        <v>123</v>
      </c>
      <c r="M93" t="s">
        <v>124</v>
      </c>
    </row>
    <row r="94" spans="1:13" x14ac:dyDescent="0.25">
      <c r="A94" t="s">
        <v>144</v>
      </c>
      <c r="B94" t="s">
        <v>145</v>
      </c>
      <c r="C94" t="s">
        <v>113</v>
      </c>
      <c r="D94" t="s">
        <v>84</v>
      </c>
      <c r="E94" t="s">
        <v>85</v>
      </c>
      <c r="F94" t="s">
        <v>86</v>
      </c>
      <c r="G94" t="s">
        <v>113</v>
      </c>
      <c r="I94">
        <v>0</v>
      </c>
      <c r="J94" s="2">
        <v>1400000</v>
      </c>
      <c r="K94" s="2" t="s">
        <v>148</v>
      </c>
      <c r="L94" t="s">
        <v>123</v>
      </c>
      <c r="M94" t="s">
        <v>124</v>
      </c>
    </row>
    <row r="95" spans="1:13" x14ac:dyDescent="0.25">
      <c r="A95" t="s">
        <v>144</v>
      </c>
      <c r="B95" t="s">
        <v>145</v>
      </c>
      <c r="C95" t="s">
        <v>113</v>
      </c>
      <c r="D95" t="s">
        <v>84</v>
      </c>
      <c r="E95" t="s">
        <v>85</v>
      </c>
      <c r="F95" t="s">
        <v>86</v>
      </c>
      <c r="G95" t="s">
        <v>113</v>
      </c>
      <c r="I95">
        <v>0</v>
      </c>
      <c r="J95" s="2">
        <v>1400000</v>
      </c>
      <c r="K95" s="2" t="s">
        <v>147</v>
      </c>
      <c r="L95" t="s">
        <v>123</v>
      </c>
      <c r="M95" t="s">
        <v>124</v>
      </c>
    </row>
    <row r="96" spans="1:13" x14ac:dyDescent="0.25">
      <c r="A96" t="s">
        <v>144</v>
      </c>
      <c r="B96" t="s">
        <v>145</v>
      </c>
      <c r="C96" t="s">
        <v>117</v>
      </c>
      <c r="D96" t="s">
        <v>84</v>
      </c>
      <c r="E96" t="s">
        <v>85</v>
      </c>
      <c r="F96" t="s">
        <v>86</v>
      </c>
      <c r="G96" t="s">
        <v>117</v>
      </c>
      <c r="I96">
        <v>0</v>
      </c>
      <c r="J96" s="2">
        <v>39400000</v>
      </c>
      <c r="K96" s="2" t="s">
        <v>146</v>
      </c>
      <c r="L96" t="s">
        <v>123</v>
      </c>
      <c r="M96" t="s">
        <v>124</v>
      </c>
    </row>
    <row r="97" spans="1:13" x14ac:dyDescent="0.25">
      <c r="A97" t="s">
        <v>144</v>
      </c>
      <c r="B97" t="s">
        <v>145</v>
      </c>
      <c r="C97" t="s">
        <v>113</v>
      </c>
      <c r="D97" t="s">
        <v>84</v>
      </c>
      <c r="E97" t="s">
        <v>85</v>
      </c>
      <c r="F97" t="s">
        <v>86</v>
      </c>
      <c r="G97" t="s">
        <v>113</v>
      </c>
      <c r="I97">
        <v>0</v>
      </c>
      <c r="J97" s="2">
        <v>1400000</v>
      </c>
      <c r="K97" s="2" t="s">
        <v>146</v>
      </c>
      <c r="L97" t="s">
        <v>123</v>
      </c>
      <c r="M97" t="s">
        <v>124</v>
      </c>
    </row>
    <row r="98" spans="1:13" x14ac:dyDescent="0.25">
      <c r="A98" t="s">
        <v>144</v>
      </c>
      <c r="B98" t="s">
        <v>145</v>
      </c>
      <c r="C98" t="s">
        <v>113</v>
      </c>
      <c r="D98" t="s">
        <v>84</v>
      </c>
      <c r="E98" t="s">
        <v>85</v>
      </c>
      <c r="F98" t="s">
        <v>86</v>
      </c>
      <c r="G98" t="s">
        <v>113</v>
      </c>
      <c r="I98">
        <v>0</v>
      </c>
      <c r="J98" s="2">
        <v>1400000</v>
      </c>
      <c r="K98" s="2" t="s">
        <v>148</v>
      </c>
      <c r="L98" t="s">
        <v>123</v>
      </c>
      <c r="M98" t="s">
        <v>124</v>
      </c>
    </row>
    <row r="99" spans="1:13" x14ac:dyDescent="0.25">
      <c r="A99" t="s">
        <v>144</v>
      </c>
      <c r="B99" t="s">
        <v>145</v>
      </c>
      <c r="C99" t="s">
        <v>113</v>
      </c>
      <c r="D99" t="s">
        <v>84</v>
      </c>
      <c r="E99" t="s">
        <v>85</v>
      </c>
      <c r="F99" t="s">
        <v>86</v>
      </c>
      <c r="G99" t="s">
        <v>113</v>
      </c>
      <c r="I99">
        <v>0</v>
      </c>
      <c r="J99" s="2">
        <v>1400000</v>
      </c>
      <c r="K99" s="2" t="s">
        <v>146</v>
      </c>
      <c r="L99" t="s">
        <v>123</v>
      </c>
      <c r="M99" t="s">
        <v>124</v>
      </c>
    </row>
    <row r="100" spans="1:13" x14ac:dyDescent="0.25">
      <c r="A100" t="s">
        <v>144</v>
      </c>
      <c r="B100" t="s">
        <v>145</v>
      </c>
      <c r="C100" t="s">
        <v>113</v>
      </c>
      <c r="D100" t="s">
        <v>84</v>
      </c>
      <c r="E100" t="s">
        <v>85</v>
      </c>
      <c r="F100" t="s">
        <v>86</v>
      </c>
      <c r="G100" t="s">
        <v>113</v>
      </c>
      <c r="I100">
        <v>0</v>
      </c>
      <c r="J100" s="2">
        <v>1400000</v>
      </c>
      <c r="K100" s="2" t="s">
        <v>148</v>
      </c>
      <c r="L100" t="s">
        <v>123</v>
      </c>
      <c r="M100" t="s">
        <v>124</v>
      </c>
    </row>
    <row r="101" spans="1:13" x14ac:dyDescent="0.25">
      <c r="A101" t="s">
        <v>144</v>
      </c>
      <c r="B101" t="s">
        <v>145</v>
      </c>
      <c r="C101" t="s">
        <v>113</v>
      </c>
      <c r="D101" t="s">
        <v>84</v>
      </c>
      <c r="E101" t="s">
        <v>85</v>
      </c>
      <c r="F101" t="s">
        <v>86</v>
      </c>
      <c r="G101" t="s">
        <v>113</v>
      </c>
      <c r="I101">
        <v>0</v>
      </c>
      <c r="J101" s="2">
        <v>1400000</v>
      </c>
      <c r="K101" s="2" t="s">
        <v>147</v>
      </c>
      <c r="L101" t="s">
        <v>123</v>
      </c>
      <c r="M101" t="s">
        <v>124</v>
      </c>
    </row>
    <row r="102" spans="1:13" x14ac:dyDescent="0.25">
      <c r="A102" t="s">
        <v>144</v>
      </c>
      <c r="B102" t="s">
        <v>145</v>
      </c>
      <c r="C102" t="s">
        <v>113</v>
      </c>
      <c r="D102" t="s">
        <v>84</v>
      </c>
      <c r="E102" t="s">
        <v>85</v>
      </c>
      <c r="F102" t="s">
        <v>86</v>
      </c>
      <c r="G102" t="s">
        <v>113</v>
      </c>
      <c r="I102">
        <v>0</v>
      </c>
      <c r="J102" s="2">
        <v>31400000</v>
      </c>
      <c r="K102" s="2" t="s">
        <v>146</v>
      </c>
      <c r="L102" t="s">
        <v>123</v>
      </c>
      <c r="M102" t="s">
        <v>124</v>
      </c>
    </row>
    <row r="103" spans="1:13" x14ac:dyDescent="0.25">
      <c r="A103" t="s">
        <v>144</v>
      </c>
      <c r="B103" t="s">
        <v>145</v>
      </c>
      <c r="C103" t="s">
        <v>99</v>
      </c>
      <c r="D103" t="s">
        <v>97</v>
      </c>
      <c r="E103" t="s">
        <v>100</v>
      </c>
      <c r="F103" t="s">
        <v>99</v>
      </c>
      <c r="I103" s="2">
        <v>15000</v>
      </c>
      <c r="J103">
        <v>0</v>
      </c>
      <c r="K103" s="2" t="s">
        <v>147</v>
      </c>
      <c r="L103" t="s">
        <v>88</v>
      </c>
      <c r="M103" t="s">
        <v>89</v>
      </c>
    </row>
    <row r="104" spans="1:13" x14ac:dyDescent="0.25">
      <c r="A104" t="s">
        <v>144</v>
      </c>
      <c r="B104" t="s">
        <v>145</v>
      </c>
      <c r="C104" t="s">
        <v>101</v>
      </c>
      <c r="D104" t="s">
        <v>97</v>
      </c>
      <c r="E104" t="s">
        <v>100</v>
      </c>
      <c r="F104" t="s">
        <v>101</v>
      </c>
      <c r="I104">
        <v>0</v>
      </c>
      <c r="J104" s="2">
        <v>12000</v>
      </c>
      <c r="K104" s="2" t="s">
        <v>147</v>
      </c>
      <c r="L104" t="s">
        <v>88</v>
      </c>
      <c r="M104" t="s">
        <v>89</v>
      </c>
    </row>
    <row r="105" spans="1:13" x14ac:dyDescent="0.25">
      <c r="A105" t="s">
        <v>144</v>
      </c>
      <c r="B105" t="s">
        <v>145</v>
      </c>
      <c r="C105" t="s">
        <v>106</v>
      </c>
      <c r="D105" t="s">
        <v>97</v>
      </c>
      <c r="E105" t="s">
        <v>105</v>
      </c>
      <c r="F105" t="s">
        <v>106</v>
      </c>
      <c r="I105" s="2">
        <v>420000</v>
      </c>
      <c r="J105">
        <v>0</v>
      </c>
      <c r="K105" s="2" t="s">
        <v>148</v>
      </c>
      <c r="L105" t="s">
        <v>88</v>
      </c>
      <c r="M105" t="s">
        <v>89</v>
      </c>
    </row>
    <row r="106" spans="1:13" x14ac:dyDescent="0.25">
      <c r="A106" t="s">
        <v>144</v>
      </c>
      <c r="B106" t="s">
        <v>145</v>
      </c>
      <c r="C106" t="s">
        <v>110</v>
      </c>
      <c r="D106" t="s">
        <v>97</v>
      </c>
      <c r="E106" t="s">
        <v>98</v>
      </c>
      <c r="F106" t="s">
        <v>110</v>
      </c>
      <c r="I106" s="2">
        <v>50000</v>
      </c>
      <c r="J106">
        <v>0</v>
      </c>
      <c r="K106" s="2" t="s">
        <v>148</v>
      </c>
      <c r="L106" t="s">
        <v>88</v>
      </c>
      <c r="M106" t="s">
        <v>89</v>
      </c>
    </row>
    <row r="107" spans="1:13" x14ac:dyDescent="0.25">
      <c r="A107" t="s">
        <v>144</v>
      </c>
      <c r="B107" t="s">
        <v>145</v>
      </c>
      <c r="C107" t="s">
        <v>111</v>
      </c>
      <c r="D107" t="s">
        <v>97</v>
      </c>
      <c r="E107" t="s">
        <v>98</v>
      </c>
      <c r="F107" t="s">
        <v>111</v>
      </c>
      <c r="I107">
        <v>0</v>
      </c>
      <c r="J107" s="2">
        <v>18000</v>
      </c>
      <c r="K107" s="2" t="s">
        <v>146</v>
      </c>
      <c r="L107" t="s">
        <v>88</v>
      </c>
      <c r="M107" t="s">
        <v>89</v>
      </c>
    </row>
    <row r="108" spans="1:13" x14ac:dyDescent="0.25">
      <c r="A108" t="s">
        <v>127</v>
      </c>
      <c r="B108" t="s">
        <v>82</v>
      </c>
      <c r="C108" t="s">
        <v>136</v>
      </c>
      <c r="D108" t="s">
        <v>84</v>
      </c>
      <c r="E108" t="s">
        <v>109</v>
      </c>
      <c r="F108" t="s">
        <v>136</v>
      </c>
      <c r="I108" s="2">
        <v>88000</v>
      </c>
      <c r="J108">
        <v>0</v>
      </c>
      <c r="K108" s="2" t="s">
        <v>137</v>
      </c>
      <c r="L108" t="s">
        <v>123</v>
      </c>
      <c r="M108" t="s">
        <v>124</v>
      </c>
    </row>
    <row r="109" spans="1:13" x14ac:dyDescent="0.25">
      <c r="A109" t="s">
        <v>127</v>
      </c>
      <c r="B109" t="s">
        <v>82</v>
      </c>
      <c r="C109" t="s">
        <v>108</v>
      </c>
      <c r="D109" t="s">
        <v>84</v>
      </c>
      <c r="E109" t="s">
        <v>109</v>
      </c>
      <c r="F109" t="s">
        <v>108</v>
      </c>
      <c r="I109" s="2">
        <v>2160000</v>
      </c>
      <c r="J109">
        <v>0</v>
      </c>
      <c r="K109" s="2" t="s">
        <v>142</v>
      </c>
      <c r="L109" t="s">
        <v>123</v>
      </c>
      <c r="M109" t="s">
        <v>124</v>
      </c>
    </row>
    <row r="110" spans="1:13" x14ac:dyDescent="0.25">
      <c r="A110" t="s">
        <v>127</v>
      </c>
      <c r="B110" t="s">
        <v>82</v>
      </c>
      <c r="C110" t="s">
        <v>108</v>
      </c>
      <c r="D110" t="s">
        <v>84</v>
      </c>
      <c r="E110" t="s">
        <v>109</v>
      </c>
      <c r="F110" t="s">
        <v>108</v>
      </c>
      <c r="I110" s="2">
        <v>2160000</v>
      </c>
      <c r="J110">
        <v>0</v>
      </c>
      <c r="K110" s="2" t="s">
        <v>138</v>
      </c>
      <c r="L110" t="s">
        <v>123</v>
      </c>
      <c r="M110" t="s">
        <v>124</v>
      </c>
    </row>
    <row r="111" spans="1:13" x14ac:dyDescent="0.25">
      <c r="A111" t="s">
        <v>127</v>
      </c>
      <c r="B111" t="s">
        <v>82</v>
      </c>
      <c r="C111" t="s">
        <v>108</v>
      </c>
      <c r="D111" t="s">
        <v>84</v>
      </c>
      <c r="E111" t="s">
        <v>109</v>
      </c>
      <c r="F111" t="s">
        <v>108</v>
      </c>
      <c r="I111" s="2">
        <v>2160000</v>
      </c>
      <c r="J111">
        <v>0</v>
      </c>
      <c r="K111" s="2" t="s">
        <v>139</v>
      </c>
      <c r="L111" t="s">
        <v>123</v>
      </c>
      <c r="M111" t="s">
        <v>124</v>
      </c>
    </row>
    <row r="112" spans="1:13" x14ac:dyDescent="0.25">
      <c r="A112" t="s">
        <v>127</v>
      </c>
      <c r="B112" t="s">
        <v>82</v>
      </c>
      <c r="C112" t="s">
        <v>108</v>
      </c>
      <c r="D112" t="s">
        <v>84</v>
      </c>
      <c r="E112" t="s">
        <v>109</v>
      </c>
      <c r="F112" t="s">
        <v>108</v>
      </c>
      <c r="I112" s="2">
        <v>2160000</v>
      </c>
      <c r="J112">
        <v>0</v>
      </c>
      <c r="K112" s="2" t="s">
        <v>134</v>
      </c>
      <c r="L112" t="s">
        <v>123</v>
      </c>
      <c r="M112" t="s">
        <v>124</v>
      </c>
    </row>
    <row r="113" spans="1:13" x14ac:dyDescent="0.25">
      <c r="A113" t="s">
        <v>127</v>
      </c>
      <c r="B113" t="s">
        <v>82</v>
      </c>
      <c r="C113" t="s">
        <v>108</v>
      </c>
      <c r="D113" t="s">
        <v>84</v>
      </c>
      <c r="E113" t="s">
        <v>109</v>
      </c>
      <c r="F113" t="s">
        <v>108</v>
      </c>
      <c r="I113" s="2">
        <v>2160000</v>
      </c>
      <c r="J113">
        <v>0</v>
      </c>
      <c r="K113" s="2" t="s">
        <v>143</v>
      </c>
      <c r="L113" t="s">
        <v>123</v>
      </c>
      <c r="M113" t="s">
        <v>124</v>
      </c>
    </row>
    <row r="114" spans="1:13" x14ac:dyDescent="0.25">
      <c r="A114" t="s">
        <v>127</v>
      </c>
      <c r="B114" t="s">
        <v>82</v>
      </c>
      <c r="C114" t="s">
        <v>108</v>
      </c>
      <c r="D114" t="s">
        <v>84</v>
      </c>
      <c r="E114" t="s">
        <v>109</v>
      </c>
      <c r="F114" t="s">
        <v>108</v>
      </c>
      <c r="I114" s="2">
        <v>2160000</v>
      </c>
      <c r="J114">
        <v>0</v>
      </c>
      <c r="K114" s="2" t="s">
        <v>142</v>
      </c>
      <c r="L114" t="s">
        <v>123</v>
      </c>
      <c r="M114" t="s">
        <v>124</v>
      </c>
    </row>
    <row r="115" spans="1:13" x14ac:dyDescent="0.25">
      <c r="A115" t="s">
        <v>127</v>
      </c>
      <c r="B115" t="s">
        <v>82</v>
      </c>
      <c r="C115" t="s">
        <v>108</v>
      </c>
      <c r="D115" t="s">
        <v>84</v>
      </c>
      <c r="E115" t="s">
        <v>109</v>
      </c>
      <c r="F115" t="s">
        <v>108</v>
      </c>
      <c r="I115" s="2">
        <v>2160000</v>
      </c>
      <c r="J115">
        <v>0</v>
      </c>
      <c r="K115" s="2" t="s">
        <v>138</v>
      </c>
      <c r="L115" t="s">
        <v>123</v>
      </c>
      <c r="M115" t="s">
        <v>124</v>
      </c>
    </row>
    <row r="116" spans="1:13" x14ac:dyDescent="0.25">
      <c r="A116" t="s">
        <v>127</v>
      </c>
      <c r="B116" t="s">
        <v>82</v>
      </c>
      <c r="C116" t="s">
        <v>108</v>
      </c>
      <c r="D116" t="s">
        <v>84</v>
      </c>
      <c r="E116" t="s">
        <v>109</v>
      </c>
      <c r="F116" t="s">
        <v>108</v>
      </c>
      <c r="I116" s="2">
        <v>2160000</v>
      </c>
      <c r="J116">
        <v>0</v>
      </c>
      <c r="K116" s="2" t="s">
        <v>139</v>
      </c>
      <c r="L116" t="s">
        <v>123</v>
      </c>
      <c r="M116" t="s">
        <v>124</v>
      </c>
    </row>
    <row r="117" spans="1:13" x14ac:dyDescent="0.25">
      <c r="A117" t="s">
        <v>127</v>
      </c>
      <c r="B117" t="s">
        <v>82</v>
      </c>
      <c r="C117" t="s">
        <v>108</v>
      </c>
      <c r="D117" t="s">
        <v>84</v>
      </c>
      <c r="E117" t="s">
        <v>109</v>
      </c>
      <c r="F117" t="s">
        <v>108</v>
      </c>
      <c r="I117" s="2">
        <v>2160000</v>
      </c>
      <c r="J117">
        <v>0</v>
      </c>
      <c r="K117" s="2" t="s">
        <v>134</v>
      </c>
      <c r="L117" t="s">
        <v>123</v>
      </c>
      <c r="M117" t="s">
        <v>124</v>
      </c>
    </row>
    <row r="118" spans="1:13" x14ac:dyDescent="0.25">
      <c r="A118" t="s">
        <v>127</v>
      </c>
      <c r="B118" t="s">
        <v>82</v>
      </c>
      <c r="C118" t="s">
        <v>108</v>
      </c>
      <c r="D118" t="s">
        <v>84</v>
      </c>
      <c r="E118" t="s">
        <v>109</v>
      </c>
      <c r="F118" t="s">
        <v>108</v>
      </c>
      <c r="I118" s="2">
        <v>2160000</v>
      </c>
      <c r="J118">
        <v>0</v>
      </c>
      <c r="K118" s="2" t="s">
        <v>143</v>
      </c>
      <c r="L118" t="s">
        <v>123</v>
      </c>
      <c r="M118" t="s">
        <v>124</v>
      </c>
    </row>
    <row r="119" spans="1:13" x14ac:dyDescent="0.25">
      <c r="A119" t="s">
        <v>127</v>
      </c>
      <c r="B119" t="s">
        <v>82</v>
      </c>
      <c r="C119" t="s">
        <v>108</v>
      </c>
      <c r="D119" t="s">
        <v>84</v>
      </c>
      <c r="E119" t="s">
        <v>109</v>
      </c>
      <c r="F119" t="s">
        <v>108</v>
      </c>
      <c r="I119" s="2">
        <v>2160000</v>
      </c>
      <c r="J119">
        <v>0</v>
      </c>
      <c r="K119" s="2" t="s">
        <v>142</v>
      </c>
      <c r="L119" t="s">
        <v>123</v>
      </c>
      <c r="M119" t="s">
        <v>124</v>
      </c>
    </row>
    <row r="120" spans="1:13" x14ac:dyDescent="0.25">
      <c r="A120" t="s">
        <v>127</v>
      </c>
      <c r="B120" t="s">
        <v>82</v>
      </c>
      <c r="C120" t="s">
        <v>108</v>
      </c>
      <c r="D120" t="s">
        <v>84</v>
      </c>
      <c r="E120" t="s">
        <v>109</v>
      </c>
      <c r="F120" t="s">
        <v>108</v>
      </c>
      <c r="I120" s="2">
        <v>2160000</v>
      </c>
      <c r="J120">
        <v>0</v>
      </c>
      <c r="K120" s="2" t="s">
        <v>138</v>
      </c>
      <c r="L120" t="s">
        <v>123</v>
      </c>
      <c r="M120" t="s">
        <v>124</v>
      </c>
    </row>
    <row r="121" spans="1:13" x14ac:dyDescent="0.25">
      <c r="A121" t="s">
        <v>127</v>
      </c>
      <c r="B121" t="s">
        <v>82</v>
      </c>
      <c r="C121" t="s">
        <v>108</v>
      </c>
      <c r="D121" t="s">
        <v>84</v>
      </c>
      <c r="E121" t="s">
        <v>109</v>
      </c>
      <c r="F121" t="s">
        <v>108</v>
      </c>
      <c r="I121" s="2">
        <v>2160000</v>
      </c>
      <c r="J121">
        <v>0</v>
      </c>
      <c r="K121" s="2" t="s">
        <v>139</v>
      </c>
      <c r="L121" t="s">
        <v>123</v>
      </c>
      <c r="M121" t="s">
        <v>124</v>
      </c>
    </row>
    <row r="122" spans="1:13" x14ac:dyDescent="0.25">
      <c r="A122" t="s">
        <v>127</v>
      </c>
      <c r="B122" t="s">
        <v>82</v>
      </c>
      <c r="C122" t="s">
        <v>108</v>
      </c>
      <c r="D122" t="s">
        <v>84</v>
      </c>
      <c r="E122" t="s">
        <v>109</v>
      </c>
      <c r="F122" t="s">
        <v>108</v>
      </c>
      <c r="I122" s="2">
        <v>2160000</v>
      </c>
      <c r="J122">
        <v>0</v>
      </c>
      <c r="K122" s="2" t="s">
        <v>134</v>
      </c>
      <c r="L122" t="s">
        <v>123</v>
      </c>
      <c r="M122" t="s">
        <v>124</v>
      </c>
    </row>
    <row r="123" spans="1:13" x14ac:dyDescent="0.25">
      <c r="A123" t="s">
        <v>127</v>
      </c>
      <c r="B123" t="s">
        <v>82</v>
      </c>
      <c r="C123" t="s">
        <v>108</v>
      </c>
      <c r="D123" t="s">
        <v>84</v>
      </c>
      <c r="E123" t="s">
        <v>109</v>
      </c>
      <c r="F123" t="s">
        <v>108</v>
      </c>
      <c r="I123" s="2">
        <v>2160000</v>
      </c>
      <c r="J123">
        <v>0</v>
      </c>
      <c r="K123" s="2" t="s">
        <v>143</v>
      </c>
      <c r="L123" t="s">
        <v>123</v>
      </c>
      <c r="M123" t="s">
        <v>124</v>
      </c>
    </row>
    <row r="124" spans="1:13" x14ac:dyDescent="0.25">
      <c r="A124" t="s">
        <v>127</v>
      </c>
      <c r="B124" t="s">
        <v>82</v>
      </c>
      <c r="C124" t="s">
        <v>108</v>
      </c>
      <c r="D124" t="s">
        <v>84</v>
      </c>
      <c r="E124" t="s">
        <v>109</v>
      </c>
      <c r="F124" t="s">
        <v>108</v>
      </c>
      <c r="I124" s="2">
        <v>2160000</v>
      </c>
      <c r="J124">
        <v>0</v>
      </c>
      <c r="K124" s="2" t="s">
        <v>142</v>
      </c>
      <c r="L124" t="s">
        <v>123</v>
      </c>
      <c r="M124" t="s">
        <v>124</v>
      </c>
    </row>
    <row r="125" spans="1:13" x14ac:dyDescent="0.25">
      <c r="A125" t="s">
        <v>127</v>
      </c>
      <c r="B125" t="s">
        <v>82</v>
      </c>
      <c r="C125" t="s">
        <v>108</v>
      </c>
      <c r="D125" t="s">
        <v>84</v>
      </c>
      <c r="E125" t="s">
        <v>109</v>
      </c>
      <c r="F125" t="s">
        <v>108</v>
      </c>
      <c r="I125" s="2">
        <v>2160000</v>
      </c>
      <c r="J125">
        <v>0</v>
      </c>
      <c r="K125" s="2" t="s">
        <v>139</v>
      </c>
      <c r="L125" t="s">
        <v>123</v>
      </c>
      <c r="M125" t="s">
        <v>124</v>
      </c>
    </row>
    <row r="126" spans="1:13" x14ac:dyDescent="0.25">
      <c r="A126" t="s">
        <v>127</v>
      </c>
      <c r="B126" t="s">
        <v>82</v>
      </c>
      <c r="C126" t="s">
        <v>112</v>
      </c>
      <c r="D126" t="s">
        <v>84</v>
      </c>
      <c r="E126" t="s">
        <v>109</v>
      </c>
      <c r="F126" t="s">
        <v>112</v>
      </c>
      <c r="I126" s="2">
        <v>2160000</v>
      </c>
      <c r="J126">
        <v>0</v>
      </c>
      <c r="K126" s="2" t="s">
        <v>142</v>
      </c>
      <c r="L126" t="s">
        <v>123</v>
      </c>
      <c r="M126" t="s">
        <v>124</v>
      </c>
    </row>
    <row r="127" spans="1:13" x14ac:dyDescent="0.25">
      <c r="A127" t="s">
        <v>127</v>
      </c>
      <c r="B127" t="s">
        <v>82</v>
      </c>
      <c r="C127" t="s">
        <v>112</v>
      </c>
      <c r="D127" t="s">
        <v>84</v>
      </c>
      <c r="E127" t="s">
        <v>109</v>
      </c>
      <c r="F127" t="s">
        <v>112</v>
      </c>
      <c r="I127" s="2">
        <v>2160000</v>
      </c>
      <c r="J127">
        <v>0</v>
      </c>
      <c r="K127" s="2" t="s">
        <v>138</v>
      </c>
      <c r="L127" t="s">
        <v>123</v>
      </c>
      <c r="M127" t="s">
        <v>124</v>
      </c>
    </row>
    <row r="128" spans="1:13" x14ac:dyDescent="0.25">
      <c r="A128" t="s">
        <v>127</v>
      </c>
      <c r="B128" t="s">
        <v>82</v>
      </c>
      <c r="C128" t="s">
        <v>112</v>
      </c>
      <c r="D128" t="s">
        <v>84</v>
      </c>
      <c r="E128" t="s">
        <v>109</v>
      </c>
      <c r="F128" t="s">
        <v>112</v>
      </c>
      <c r="I128" s="2">
        <v>2160000</v>
      </c>
      <c r="J128">
        <v>0</v>
      </c>
      <c r="K128" s="2" t="s">
        <v>139</v>
      </c>
      <c r="L128" t="s">
        <v>123</v>
      </c>
      <c r="M128" t="s">
        <v>124</v>
      </c>
    </row>
    <row r="129" spans="1:13" x14ac:dyDescent="0.25">
      <c r="A129" t="s">
        <v>127</v>
      </c>
      <c r="B129" t="s">
        <v>82</v>
      </c>
      <c r="C129" t="s">
        <v>112</v>
      </c>
      <c r="D129" t="s">
        <v>84</v>
      </c>
      <c r="E129" t="s">
        <v>109</v>
      </c>
      <c r="F129" t="s">
        <v>112</v>
      </c>
      <c r="I129" s="2">
        <v>2160000</v>
      </c>
      <c r="J129">
        <v>0</v>
      </c>
      <c r="K129" s="2" t="s">
        <v>134</v>
      </c>
      <c r="L129" t="s">
        <v>123</v>
      </c>
      <c r="M129" t="s">
        <v>124</v>
      </c>
    </row>
    <row r="130" spans="1:13" x14ac:dyDescent="0.25">
      <c r="A130" t="s">
        <v>127</v>
      </c>
      <c r="B130" t="s">
        <v>82</v>
      </c>
      <c r="C130" t="s">
        <v>108</v>
      </c>
      <c r="D130" t="s">
        <v>84</v>
      </c>
      <c r="E130" t="s">
        <v>109</v>
      </c>
      <c r="F130" t="s">
        <v>108</v>
      </c>
      <c r="I130" s="2">
        <v>2160000</v>
      </c>
      <c r="J130">
        <v>0</v>
      </c>
      <c r="K130" s="2" t="s">
        <v>142</v>
      </c>
      <c r="L130" t="s">
        <v>123</v>
      </c>
      <c r="M130" t="s">
        <v>124</v>
      </c>
    </row>
    <row r="131" spans="1:13" x14ac:dyDescent="0.25">
      <c r="A131" t="s">
        <v>127</v>
      </c>
      <c r="B131" t="s">
        <v>82</v>
      </c>
      <c r="C131" t="s">
        <v>121</v>
      </c>
      <c r="D131" t="s">
        <v>84</v>
      </c>
      <c r="E131" t="s">
        <v>109</v>
      </c>
      <c r="F131" t="s">
        <v>121</v>
      </c>
      <c r="I131" s="2">
        <v>2160000</v>
      </c>
      <c r="J131">
        <v>0</v>
      </c>
      <c r="K131" s="2" t="s">
        <v>139</v>
      </c>
      <c r="L131" t="s">
        <v>123</v>
      </c>
      <c r="M131" t="s">
        <v>124</v>
      </c>
    </row>
    <row r="132" spans="1:13" x14ac:dyDescent="0.25">
      <c r="A132" t="s">
        <v>127</v>
      </c>
      <c r="B132" t="s">
        <v>82</v>
      </c>
      <c r="C132" t="s">
        <v>103</v>
      </c>
      <c r="D132" t="s">
        <v>97</v>
      </c>
      <c r="E132" t="s">
        <v>103</v>
      </c>
      <c r="I132" s="2">
        <v>2160000</v>
      </c>
      <c r="J132">
        <v>0</v>
      </c>
      <c r="K132" s="2" t="s">
        <v>134</v>
      </c>
      <c r="L132" t="s">
        <v>123</v>
      </c>
      <c r="M132" t="s">
        <v>124</v>
      </c>
    </row>
    <row r="133" spans="1:13" x14ac:dyDescent="0.25">
      <c r="A133" t="s">
        <v>127</v>
      </c>
      <c r="B133" t="s">
        <v>82</v>
      </c>
      <c r="C133" t="s">
        <v>108</v>
      </c>
      <c r="D133" t="s">
        <v>84</v>
      </c>
      <c r="E133" t="s">
        <v>109</v>
      </c>
      <c r="F133" t="s">
        <v>108</v>
      </c>
      <c r="I133" s="2">
        <v>2160000</v>
      </c>
      <c r="J133">
        <v>0</v>
      </c>
      <c r="K133" s="2" t="s">
        <v>142</v>
      </c>
      <c r="L133" t="s">
        <v>123</v>
      </c>
      <c r="M133" t="s">
        <v>124</v>
      </c>
    </row>
    <row r="134" spans="1:13" x14ac:dyDescent="0.25">
      <c r="A134" t="s">
        <v>127</v>
      </c>
      <c r="B134" t="s">
        <v>82</v>
      </c>
      <c r="C134" t="s">
        <v>108</v>
      </c>
      <c r="D134" t="s">
        <v>84</v>
      </c>
      <c r="E134" t="s">
        <v>109</v>
      </c>
      <c r="F134" t="s">
        <v>108</v>
      </c>
      <c r="I134" s="2">
        <v>2160000</v>
      </c>
      <c r="J134">
        <v>0</v>
      </c>
      <c r="K134" s="2" t="s">
        <v>138</v>
      </c>
      <c r="L134" t="s">
        <v>123</v>
      </c>
      <c r="M134" t="s">
        <v>124</v>
      </c>
    </row>
    <row r="135" spans="1:13" x14ac:dyDescent="0.25">
      <c r="A135" t="s">
        <v>127</v>
      </c>
      <c r="B135" t="s">
        <v>82</v>
      </c>
      <c r="C135" t="s">
        <v>108</v>
      </c>
      <c r="D135" t="s">
        <v>84</v>
      </c>
      <c r="E135" t="s">
        <v>109</v>
      </c>
      <c r="F135" t="s">
        <v>108</v>
      </c>
      <c r="I135" s="2">
        <v>2160000</v>
      </c>
      <c r="J135">
        <v>0</v>
      </c>
      <c r="K135" s="2" t="s">
        <v>139</v>
      </c>
      <c r="L135" t="s">
        <v>123</v>
      </c>
      <c r="M135" t="s">
        <v>124</v>
      </c>
    </row>
    <row r="136" spans="1:13" x14ac:dyDescent="0.25">
      <c r="A136" t="s">
        <v>127</v>
      </c>
      <c r="B136" t="s">
        <v>82</v>
      </c>
      <c r="C136" t="s">
        <v>108</v>
      </c>
      <c r="D136" t="s">
        <v>84</v>
      </c>
      <c r="E136" t="s">
        <v>109</v>
      </c>
      <c r="F136" t="s">
        <v>108</v>
      </c>
      <c r="I136" s="2">
        <v>2160000</v>
      </c>
      <c r="J136">
        <v>0</v>
      </c>
      <c r="K136" s="2" t="s">
        <v>134</v>
      </c>
      <c r="L136" t="s">
        <v>123</v>
      </c>
      <c r="M136" t="s">
        <v>124</v>
      </c>
    </row>
    <row r="137" spans="1:13" x14ac:dyDescent="0.25">
      <c r="A137" t="s">
        <v>127</v>
      </c>
      <c r="B137" t="s">
        <v>82</v>
      </c>
      <c r="C137" t="s">
        <v>103</v>
      </c>
      <c r="D137" t="s">
        <v>97</v>
      </c>
      <c r="E137" t="s">
        <v>103</v>
      </c>
      <c r="I137" s="2">
        <v>2160000</v>
      </c>
      <c r="J137">
        <v>0</v>
      </c>
      <c r="K137" s="2" t="s">
        <v>142</v>
      </c>
      <c r="L137" t="s">
        <v>123</v>
      </c>
      <c r="M137" t="s">
        <v>124</v>
      </c>
    </row>
    <row r="138" spans="1:13" x14ac:dyDescent="0.25">
      <c r="A138" t="s">
        <v>127</v>
      </c>
      <c r="B138" t="s">
        <v>82</v>
      </c>
      <c r="C138" t="s">
        <v>108</v>
      </c>
      <c r="D138" t="s">
        <v>84</v>
      </c>
      <c r="E138" t="s">
        <v>109</v>
      </c>
      <c r="F138" t="s">
        <v>108</v>
      </c>
      <c r="I138" s="2">
        <v>2160000</v>
      </c>
      <c r="J138">
        <v>0</v>
      </c>
      <c r="K138" s="2" t="s">
        <v>134</v>
      </c>
      <c r="L138" t="s">
        <v>123</v>
      </c>
      <c r="M138" t="s">
        <v>124</v>
      </c>
    </row>
    <row r="139" spans="1:13" x14ac:dyDescent="0.25">
      <c r="A139" t="s">
        <v>127</v>
      </c>
      <c r="B139" t="s">
        <v>82</v>
      </c>
      <c r="C139" t="s">
        <v>103</v>
      </c>
      <c r="D139" t="s">
        <v>97</v>
      </c>
      <c r="E139" t="s">
        <v>103</v>
      </c>
      <c r="I139" s="2">
        <v>2160000</v>
      </c>
      <c r="J139">
        <v>0</v>
      </c>
      <c r="K139" s="2" t="s">
        <v>138</v>
      </c>
      <c r="L139" t="s">
        <v>123</v>
      </c>
      <c r="M139" t="s">
        <v>124</v>
      </c>
    </row>
    <row r="140" spans="1:13" x14ac:dyDescent="0.25">
      <c r="A140" t="s">
        <v>127</v>
      </c>
      <c r="B140" t="s">
        <v>82</v>
      </c>
      <c r="C140" t="s">
        <v>103</v>
      </c>
      <c r="D140" t="s">
        <v>97</v>
      </c>
      <c r="E140" t="s">
        <v>103</v>
      </c>
      <c r="I140" s="2">
        <v>2160000</v>
      </c>
      <c r="J140">
        <v>0</v>
      </c>
      <c r="K140" s="2" t="s">
        <v>139</v>
      </c>
      <c r="L140" t="s">
        <v>123</v>
      </c>
      <c r="M140" t="s">
        <v>124</v>
      </c>
    </row>
    <row r="141" spans="1:13" x14ac:dyDescent="0.25">
      <c r="A141" t="s">
        <v>127</v>
      </c>
      <c r="B141" t="s">
        <v>82</v>
      </c>
      <c r="C141" t="s">
        <v>103</v>
      </c>
      <c r="D141" t="s">
        <v>97</v>
      </c>
      <c r="E141" t="s">
        <v>103</v>
      </c>
      <c r="I141" s="2">
        <v>2160000</v>
      </c>
      <c r="J141">
        <v>0</v>
      </c>
      <c r="K141" s="2" t="s">
        <v>142</v>
      </c>
      <c r="L141" t="s">
        <v>123</v>
      </c>
      <c r="M141" t="s">
        <v>124</v>
      </c>
    </row>
    <row r="142" spans="1:13" x14ac:dyDescent="0.25">
      <c r="A142" t="s">
        <v>127</v>
      </c>
      <c r="B142" t="s">
        <v>82</v>
      </c>
      <c r="C142" t="s">
        <v>103</v>
      </c>
      <c r="D142" t="s">
        <v>97</v>
      </c>
      <c r="E142" t="s">
        <v>103</v>
      </c>
      <c r="I142" s="2">
        <v>2160000</v>
      </c>
      <c r="J142">
        <v>0</v>
      </c>
      <c r="K142" s="2" t="s">
        <v>139</v>
      </c>
      <c r="L142" t="s">
        <v>123</v>
      </c>
      <c r="M142" t="s">
        <v>124</v>
      </c>
    </row>
    <row r="143" spans="1:13" x14ac:dyDescent="0.25">
      <c r="A143" t="s">
        <v>127</v>
      </c>
      <c r="B143" t="s">
        <v>82</v>
      </c>
      <c r="C143" t="s">
        <v>113</v>
      </c>
      <c r="D143" t="s">
        <v>84</v>
      </c>
      <c r="E143" t="s">
        <v>85</v>
      </c>
      <c r="F143" t="s">
        <v>86</v>
      </c>
      <c r="G143" t="s">
        <v>113</v>
      </c>
      <c r="I143">
        <v>0</v>
      </c>
      <c r="J143" s="2">
        <v>2700000</v>
      </c>
      <c r="K143" s="2" t="s">
        <v>142</v>
      </c>
      <c r="L143" t="s">
        <v>123</v>
      </c>
      <c r="M143" t="s">
        <v>124</v>
      </c>
    </row>
    <row r="144" spans="1:13" x14ac:dyDescent="0.25">
      <c r="A144" t="s">
        <v>127</v>
      </c>
      <c r="B144" t="s">
        <v>82</v>
      </c>
      <c r="C144" t="s">
        <v>113</v>
      </c>
      <c r="D144" t="s">
        <v>84</v>
      </c>
      <c r="E144" t="s">
        <v>85</v>
      </c>
      <c r="F144" t="s">
        <v>86</v>
      </c>
      <c r="G144" t="s">
        <v>113</v>
      </c>
      <c r="I144">
        <v>0</v>
      </c>
      <c r="J144" s="2">
        <v>2700000</v>
      </c>
      <c r="K144" s="2" t="s">
        <v>138</v>
      </c>
      <c r="L144" t="s">
        <v>123</v>
      </c>
      <c r="M144" t="s">
        <v>124</v>
      </c>
    </row>
    <row r="145" spans="1:13" x14ac:dyDescent="0.25">
      <c r="A145" t="s">
        <v>127</v>
      </c>
      <c r="B145" t="s">
        <v>82</v>
      </c>
      <c r="C145" t="s">
        <v>113</v>
      </c>
      <c r="D145" t="s">
        <v>84</v>
      </c>
      <c r="E145" t="s">
        <v>85</v>
      </c>
      <c r="F145" t="s">
        <v>86</v>
      </c>
      <c r="G145" t="s">
        <v>113</v>
      </c>
      <c r="I145">
        <v>0</v>
      </c>
      <c r="J145" s="2">
        <v>2700000</v>
      </c>
      <c r="K145" s="2" t="s">
        <v>139</v>
      </c>
      <c r="L145" t="s">
        <v>123</v>
      </c>
      <c r="M145" t="s">
        <v>124</v>
      </c>
    </row>
    <row r="146" spans="1:13" x14ac:dyDescent="0.25">
      <c r="A146" t="s">
        <v>127</v>
      </c>
      <c r="B146" t="s">
        <v>82</v>
      </c>
      <c r="C146" t="s">
        <v>113</v>
      </c>
      <c r="D146" t="s">
        <v>84</v>
      </c>
      <c r="E146" t="s">
        <v>85</v>
      </c>
      <c r="F146" t="s">
        <v>86</v>
      </c>
      <c r="G146" t="s">
        <v>113</v>
      </c>
      <c r="I146">
        <v>0</v>
      </c>
      <c r="J146" s="2">
        <v>2700000</v>
      </c>
      <c r="K146" s="2" t="s">
        <v>134</v>
      </c>
      <c r="L146" t="s">
        <v>123</v>
      </c>
      <c r="M146" t="s">
        <v>124</v>
      </c>
    </row>
    <row r="147" spans="1:13" x14ac:dyDescent="0.25">
      <c r="A147" t="s">
        <v>127</v>
      </c>
      <c r="B147" t="s">
        <v>82</v>
      </c>
      <c r="C147" t="s">
        <v>113</v>
      </c>
      <c r="D147" t="s">
        <v>84</v>
      </c>
      <c r="E147" t="s">
        <v>85</v>
      </c>
      <c r="F147" t="s">
        <v>86</v>
      </c>
      <c r="G147" t="s">
        <v>113</v>
      </c>
      <c r="I147">
        <v>0</v>
      </c>
      <c r="J147" s="2">
        <v>2700000</v>
      </c>
      <c r="K147" s="2" t="s">
        <v>143</v>
      </c>
      <c r="L147" t="s">
        <v>123</v>
      </c>
      <c r="M147" t="s">
        <v>124</v>
      </c>
    </row>
    <row r="148" spans="1:13" x14ac:dyDescent="0.25">
      <c r="A148" t="s">
        <v>127</v>
      </c>
      <c r="B148" t="s">
        <v>82</v>
      </c>
      <c r="C148" t="s">
        <v>113</v>
      </c>
      <c r="D148" t="s">
        <v>84</v>
      </c>
      <c r="E148" t="s">
        <v>85</v>
      </c>
      <c r="F148" t="s">
        <v>86</v>
      </c>
      <c r="G148" t="s">
        <v>113</v>
      </c>
      <c r="I148">
        <v>0</v>
      </c>
      <c r="J148" s="2">
        <v>2700000</v>
      </c>
      <c r="K148" s="2" t="s">
        <v>138</v>
      </c>
      <c r="L148" t="s">
        <v>123</v>
      </c>
      <c r="M148" t="s">
        <v>124</v>
      </c>
    </row>
    <row r="149" spans="1:13" x14ac:dyDescent="0.25">
      <c r="A149" t="s">
        <v>127</v>
      </c>
      <c r="B149" t="s">
        <v>82</v>
      </c>
      <c r="C149" t="s">
        <v>122</v>
      </c>
      <c r="D149" t="s">
        <v>84</v>
      </c>
      <c r="E149" t="s">
        <v>85</v>
      </c>
      <c r="F149" t="s">
        <v>86</v>
      </c>
      <c r="G149" t="s">
        <v>122</v>
      </c>
      <c r="I149">
        <v>0</v>
      </c>
      <c r="J149" s="2">
        <v>2260000</v>
      </c>
      <c r="K149" s="2" t="s">
        <v>134</v>
      </c>
      <c r="L149" t="s">
        <v>123</v>
      </c>
      <c r="M149" t="s">
        <v>124</v>
      </c>
    </row>
    <row r="150" spans="1:13" x14ac:dyDescent="0.25">
      <c r="A150" t="s">
        <v>127</v>
      </c>
      <c r="B150" t="s">
        <v>82</v>
      </c>
      <c r="C150" t="s">
        <v>122</v>
      </c>
      <c r="D150" t="s">
        <v>84</v>
      </c>
      <c r="E150" t="s">
        <v>85</v>
      </c>
      <c r="F150" t="s">
        <v>86</v>
      </c>
      <c r="G150" t="s">
        <v>122</v>
      </c>
      <c r="I150">
        <v>0</v>
      </c>
      <c r="J150" s="2">
        <v>440000</v>
      </c>
      <c r="K150" s="2" t="s">
        <v>143</v>
      </c>
      <c r="L150" t="s">
        <v>123</v>
      </c>
      <c r="M150" t="s">
        <v>124</v>
      </c>
    </row>
    <row r="151" spans="1:13" x14ac:dyDescent="0.25">
      <c r="A151" t="s">
        <v>127</v>
      </c>
      <c r="B151" t="s">
        <v>82</v>
      </c>
      <c r="C151" t="s">
        <v>113</v>
      </c>
      <c r="D151" t="s">
        <v>84</v>
      </c>
      <c r="E151" t="s">
        <v>85</v>
      </c>
      <c r="F151" t="s">
        <v>86</v>
      </c>
      <c r="G151" t="s">
        <v>113</v>
      </c>
      <c r="I151">
        <v>0</v>
      </c>
      <c r="J151" s="2">
        <v>2700000</v>
      </c>
      <c r="K151" s="2" t="s">
        <v>142</v>
      </c>
      <c r="L151" t="s">
        <v>123</v>
      </c>
      <c r="M151" t="s">
        <v>124</v>
      </c>
    </row>
    <row r="152" spans="1:13" x14ac:dyDescent="0.25">
      <c r="A152" t="s">
        <v>127</v>
      </c>
      <c r="B152" t="s">
        <v>82</v>
      </c>
      <c r="C152" t="s">
        <v>125</v>
      </c>
      <c r="D152" t="s">
        <v>84</v>
      </c>
      <c r="E152" t="s">
        <v>85</v>
      </c>
      <c r="F152" t="s">
        <v>86</v>
      </c>
      <c r="G152" t="s">
        <v>125</v>
      </c>
      <c r="I152">
        <v>0</v>
      </c>
      <c r="J152" s="2">
        <v>440000</v>
      </c>
      <c r="K152" s="2" t="s">
        <v>140</v>
      </c>
      <c r="L152" t="s">
        <v>123</v>
      </c>
      <c r="M152" t="s">
        <v>124</v>
      </c>
    </row>
    <row r="153" spans="1:13" x14ac:dyDescent="0.25">
      <c r="A153" t="s">
        <v>127</v>
      </c>
      <c r="B153" t="s">
        <v>82</v>
      </c>
      <c r="C153" t="s">
        <v>125</v>
      </c>
      <c r="D153" t="s">
        <v>84</v>
      </c>
      <c r="E153" t="s">
        <v>85</v>
      </c>
      <c r="F153" t="s">
        <v>86</v>
      </c>
      <c r="G153" t="s">
        <v>125</v>
      </c>
      <c r="I153">
        <v>0</v>
      </c>
      <c r="J153" s="2">
        <v>2260000</v>
      </c>
      <c r="K153" s="2" t="s">
        <v>139</v>
      </c>
      <c r="L153" t="s">
        <v>123</v>
      </c>
      <c r="M153" t="s">
        <v>124</v>
      </c>
    </row>
    <row r="154" spans="1:13" x14ac:dyDescent="0.25">
      <c r="A154" t="s">
        <v>127</v>
      </c>
      <c r="B154" t="s">
        <v>82</v>
      </c>
      <c r="C154" t="s">
        <v>113</v>
      </c>
      <c r="D154" t="s">
        <v>84</v>
      </c>
      <c r="E154" t="s">
        <v>85</v>
      </c>
      <c r="F154" t="s">
        <v>86</v>
      </c>
      <c r="G154" t="s">
        <v>113</v>
      </c>
      <c r="I154">
        <v>0</v>
      </c>
      <c r="J154" s="2">
        <v>2700000</v>
      </c>
      <c r="K154" s="2" t="s">
        <v>134</v>
      </c>
      <c r="L154" t="s">
        <v>123</v>
      </c>
      <c r="M154" t="s">
        <v>124</v>
      </c>
    </row>
    <row r="155" spans="1:13" x14ac:dyDescent="0.25">
      <c r="A155" t="s">
        <v>127</v>
      </c>
      <c r="B155" t="s">
        <v>82</v>
      </c>
      <c r="C155" t="s">
        <v>113</v>
      </c>
      <c r="D155" t="s">
        <v>84</v>
      </c>
      <c r="E155" t="s">
        <v>85</v>
      </c>
      <c r="F155" t="s">
        <v>86</v>
      </c>
      <c r="G155" t="s">
        <v>113</v>
      </c>
      <c r="I155">
        <v>0</v>
      </c>
      <c r="J155" s="2">
        <v>2700000</v>
      </c>
      <c r="K155" s="2" t="s">
        <v>142</v>
      </c>
      <c r="L155" t="s">
        <v>123</v>
      </c>
      <c r="M155" t="s">
        <v>124</v>
      </c>
    </row>
    <row r="156" spans="1:13" x14ac:dyDescent="0.25">
      <c r="A156" t="s">
        <v>127</v>
      </c>
      <c r="B156" t="s">
        <v>82</v>
      </c>
      <c r="C156" t="s">
        <v>113</v>
      </c>
      <c r="D156" t="s">
        <v>84</v>
      </c>
      <c r="E156" t="s">
        <v>85</v>
      </c>
      <c r="F156" t="s">
        <v>86</v>
      </c>
      <c r="G156" t="s">
        <v>113</v>
      </c>
      <c r="I156">
        <v>0</v>
      </c>
      <c r="J156" s="2">
        <v>2700000</v>
      </c>
      <c r="K156" s="2" t="s">
        <v>138</v>
      </c>
      <c r="L156" t="s">
        <v>123</v>
      </c>
      <c r="M156" t="s">
        <v>124</v>
      </c>
    </row>
    <row r="157" spans="1:13" x14ac:dyDescent="0.25">
      <c r="A157" t="s">
        <v>127</v>
      </c>
      <c r="B157" t="s">
        <v>82</v>
      </c>
      <c r="C157" t="s">
        <v>113</v>
      </c>
      <c r="D157" t="s">
        <v>84</v>
      </c>
      <c r="E157" t="s">
        <v>85</v>
      </c>
      <c r="F157" t="s">
        <v>86</v>
      </c>
      <c r="G157" t="s">
        <v>113</v>
      </c>
      <c r="I157">
        <v>0</v>
      </c>
      <c r="J157" s="2">
        <v>2700000</v>
      </c>
      <c r="K157" s="2" t="s">
        <v>139</v>
      </c>
      <c r="L157" t="s">
        <v>123</v>
      </c>
      <c r="M157" t="s">
        <v>124</v>
      </c>
    </row>
    <row r="158" spans="1:13" x14ac:dyDescent="0.25">
      <c r="A158" t="s">
        <v>127</v>
      </c>
      <c r="B158" t="s">
        <v>82</v>
      </c>
      <c r="C158" t="s">
        <v>113</v>
      </c>
      <c r="D158" t="s">
        <v>84</v>
      </c>
      <c r="E158" t="s">
        <v>85</v>
      </c>
      <c r="F158" t="s">
        <v>86</v>
      </c>
      <c r="G158" t="s">
        <v>113</v>
      </c>
      <c r="I158">
        <v>0</v>
      </c>
      <c r="J158" s="2">
        <v>2700000</v>
      </c>
      <c r="K158" s="2" t="s">
        <v>134</v>
      </c>
      <c r="L158" t="s">
        <v>123</v>
      </c>
      <c r="M158" t="s">
        <v>124</v>
      </c>
    </row>
    <row r="159" spans="1:13" x14ac:dyDescent="0.25">
      <c r="A159" t="s">
        <v>127</v>
      </c>
      <c r="B159" t="s">
        <v>82</v>
      </c>
      <c r="C159" t="s">
        <v>113</v>
      </c>
      <c r="D159" t="s">
        <v>84</v>
      </c>
      <c r="E159" t="s">
        <v>85</v>
      </c>
      <c r="F159" t="s">
        <v>86</v>
      </c>
      <c r="G159" t="s">
        <v>113</v>
      </c>
      <c r="I159">
        <v>0</v>
      </c>
      <c r="J159" s="2">
        <v>2700000</v>
      </c>
      <c r="K159" s="2" t="s">
        <v>134</v>
      </c>
      <c r="L159" t="s">
        <v>123</v>
      </c>
      <c r="M159" t="s">
        <v>124</v>
      </c>
    </row>
    <row r="160" spans="1:13" x14ac:dyDescent="0.25">
      <c r="A160" t="s">
        <v>144</v>
      </c>
      <c r="B160" t="s">
        <v>145</v>
      </c>
      <c r="C160" t="s">
        <v>136</v>
      </c>
      <c r="D160" t="s">
        <v>84</v>
      </c>
      <c r="E160" t="s">
        <v>109</v>
      </c>
      <c r="F160" t="s">
        <v>136</v>
      </c>
      <c r="I160" s="2">
        <v>40000</v>
      </c>
      <c r="J160">
        <v>0</v>
      </c>
      <c r="K160" s="2" t="s">
        <v>147</v>
      </c>
      <c r="L160" t="s">
        <v>123</v>
      </c>
      <c r="M160" t="s">
        <v>124</v>
      </c>
    </row>
    <row r="161" spans="1:13" x14ac:dyDescent="0.25">
      <c r="A161" t="s">
        <v>144</v>
      </c>
      <c r="B161" t="s">
        <v>145</v>
      </c>
      <c r="C161" t="s">
        <v>108</v>
      </c>
      <c r="D161" t="s">
        <v>84</v>
      </c>
      <c r="E161" t="s">
        <v>109</v>
      </c>
      <c r="F161" t="s">
        <v>108</v>
      </c>
      <c r="I161" s="2">
        <v>320000</v>
      </c>
      <c r="J161">
        <v>0</v>
      </c>
      <c r="K161" s="2" t="s">
        <v>146</v>
      </c>
      <c r="L161" t="s">
        <v>123</v>
      </c>
      <c r="M161" t="s">
        <v>124</v>
      </c>
    </row>
    <row r="162" spans="1:13" x14ac:dyDescent="0.25">
      <c r="A162" t="s">
        <v>144</v>
      </c>
      <c r="B162" t="s">
        <v>145</v>
      </c>
      <c r="C162" t="s">
        <v>108</v>
      </c>
      <c r="D162" t="s">
        <v>84</v>
      </c>
      <c r="E162" t="s">
        <v>109</v>
      </c>
      <c r="F162" t="s">
        <v>108</v>
      </c>
      <c r="I162" s="2">
        <v>320000</v>
      </c>
      <c r="J162">
        <v>0</v>
      </c>
      <c r="K162" s="2" t="s">
        <v>148</v>
      </c>
      <c r="L162" t="s">
        <v>123</v>
      </c>
      <c r="M162" t="s">
        <v>124</v>
      </c>
    </row>
    <row r="163" spans="1:13" x14ac:dyDescent="0.25">
      <c r="A163" t="s">
        <v>144</v>
      </c>
      <c r="B163" t="s">
        <v>145</v>
      </c>
      <c r="C163" t="s">
        <v>108</v>
      </c>
      <c r="D163" t="s">
        <v>84</v>
      </c>
      <c r="E163" t="s">
        <v>109</v>
      </c>
      <c r="F163" t="s">
        <v>108</v>
      </c>
      <c r="I163" s="2">
        <v>320000</v>
      </c>
      <c r="J163">
        <v>0</v>
      </c>
      <c r="K163" s="2" t="s">
        <v>147</v>
      </c>
      <c r="L163" t="s">
        <v>123</v>
      </c>
      <c r="M163" t="s">
        <v>124</v>
      </c>
    </row>
    <row r="164" spans="1:13" x14ac:dyDescent="0.25">
      <c r="A164" t="s">
        <v>144</v>
      </c>
      <c r="B164" t="s">
        <v>145</v>
      </c>
      <c r="C164" t="s">
        <v>112</v>
      </c>
      <c r="D164" t="s">
        <v>84</v>
      </c>
      <c r="E164" t="s">
        <v>109</v>
      </c>
      <c r="F164" t="s">
        <v>112</v>
      </c>
      <c r="I164" s="2">
        <v>480000</v>
      </c>
      <c r="J164">
        <v>0</v>
      </c>
      <c r="K164" s="2" t="s">
        <v>148</v>
      </c>
      <c r="L164" t="s">
        <v>123</v>
      </c>
      <c r="M164" t="s">
        <v>124</v>
      </c>
    </row>
    <row r="165" spans="1:13" x14ac:dyDescent="0.25">
      <c r="A165" t="s">
        <v>144</v>
      </c>
      <c r="B165" t="s">
        <v>145</v>
      </c>
      <c r="C165" t="s">
        <v>112</v>
      </c>
      <c r="D165" t="s">
        <v>84</v>
      </c>
      <c r="E165" t="s">
        <v>109</v>
      </c>
      <c r="F165" t="s">
        <v>112</v>
      </c>
      <c r="I165" s="2">
        <v>480000</v>
      </c>
      <c r="J165">
        <v>0</v>
      </c>
      <c r="K165" s="2" t="s">
        <v>146</v>
      </c>
      <c r="L165" t="s">
        <v>123</v>
      </c>
      <c r="M165" t="s">
        <v>124</v>
      </c>
    </row>
    <row r="166" spans="1:13" x14ac:dyDescent="0.25">
      <c r="A166" t="s">
        <v>144</v>
      </c>
      <c r="B166" t="s">
        <v>145</v>
      </c>
      <c r="C166" t="s">
        <v>121</v>
      </c>
      <c r="D166" t="s">
        <v>84</v>
      </c>
      <c r="E166" t="s">
        <v>109</v>
      </c>
      <c r="F166" t="s">
        <v>121</v>
      </c>
      <c r="I166" s="2">
        <v>160000</v>
      </c>
      <c r="J166">
        <v>0</v>
      </c>
      <c r="K166" s="2" t="s">
        <v>146</v>
      </c>
      <c r="L166" t="s">
        <v>123</v>
      </c>
      <c r="M166" t="s">
        <v>124</v>
      </c>
    </row>
    <row r="167" spans="1:13" x14ac:dyDescent="0.25">
      <c r="A167" t="s">
        <v>144</v>
      </c>
      <c r="B167" t="s">
        <v>145</v>
      </c>
      <c r="C167" t="s">
        <v>121</v>
      </c>
      <c r="D167" t="s">
        <v>84</v>
      </c>
      <c r="E167" t="s">
        <v>109</v>
      </c>
      <c r="F167" t="s">
        <v>121</v>
      </c>
      <c r="I167" s="2">
        <v>150000</v>
      </c>
      <c r="J167">
        <v>0</v>
      </c>
      <c r="K167" s="2" t="s">
        <v>147</v>
      </c>
      <c r="L167" t="s">
        <v>123</v>
      </c>
      <c r="M167" t="s">
        <v>124</v>
      </c>
    </row>
    <row r="168" spans="1:13" x14ac:dyDescent="0.25">
      <c r="A168" t="s">
        <v>144</v>
      </c>
      <c r="B168" t="s">
        <v>145</v>
      </c>
      <c r="C168" t="s">
        <v>113</v>
      </c>
      <c r="D168" t="s">
        <v>84</v>
      </c>
      <c r="E168" t="s">
        <v>85</v>
      </c>
      <c r="F168" t="s">
        <v>86</v>
      </c>
      <c r="G168" t="s">
        <v>113</v>
      </c>
      <c r="I168">
        <v>0</v>
      </c>
      <c r="J168" s="2">
        <v>1140000</v>
      </c>
      <c r="K168" s="2" t="s">
        <v>148</v>
      </c>
      <c r="L168" t="s">
        <v>123</v>
      </c>
      <c r="M168" t="s">
        <v>124</v>
      </c>
    </row>
    <row r="169" spans="1:13" x14ac:dyDescent="0.25">
      <c r="A169" t="s">
        <v>144</v>
      </c>
      <c r="B169" t="s">
        <v>145</v>
      </c>
      <c r="C169" t="s">
        <v>113</v>
      </c>
      <c r="D169" t="s">
        <v>84</v>
      </c>
      <c r="E169" t="s">
        <v>85</v>
      </c>
      <c r="F169" t="s">
        <v>86</v>
      </c>
      <c r="G169" t="s">
        <v>113</v>
      </c>
      <c r="I169">
        <v>0</v>
      </c>
      <c r="J169" s="2">
        <v>1104000</v>
      </c>
      <c r="K169" s="2" t="s">
        <v>147</v>
      </c>
      <c r="L169" t="s">
        <v>123</v>
      </c>
      <c r="M169" t="s">
        <v>124</v>
      </c>
    </row>
    <row r="170" spans="1:13" x14ac:dyDescent="0.25">
      <c r="A170" t="s">
        <v>144</v>
      </c>
      <c r="B170" t="s">
        <v>145</v>
      </c>
      <c r="C170" t="s">
        <v>122</v>
      </c>
      <c r="D170" t="s">
        <v>84</v>
      </c>
      <c r="E170" t="s">
        <v>85</v>
      </c>
      <c r="F170" t="s">
        <v>86</v>
      </c>
      <c r="G170" t="s">
        <v>122</v>
      </c>
      <c r="I170">
        <v>0</v>
      </c>
      <c r="J170" s="2">
        <v>2105000</v>
      </c>
      <c r="K170" s="2" t="s">
        <v>146</v>
      </c>
      <c r="L170" t="s">
        <v>123</v>
      </c>
      <c r="M170" t="s">
        <v>124</v>
      </c>
    </row>
    <row r="171" spans="1:13" x14ac:dyDescent="0.25">
      <c r="A171" t="s">
        <v>144</v>
      </c>
      <c r="B171" t="s">
        <v>145</v>
      </c>
      <c r="C171" t="s">
        <v>122</v>
      </c>
      <c r="D171" t="s">
        <v>84</v>
      </c>
      <c r="E171" t="s">
        <v>85</v>
      </c>
      <c r="F171" t="s">
        <v>86</v>
      </c>
      <c r="G171" t="s">
        <v>122</v>
      </c>
      <c r="I171">
        <v>0</v>
      </c>
      <c r="J171" s="2">
        <v>2214000</v>
      </c>
      <c r="K171" s="2" t="s">
        <v>148</v>
      </c>
      <c r="L171" t="s">
        <v>123</v>
      </c>
      <c r="M171" t="s">
        <v>124</v>
      </c>
    </row>
    <row r="172" spans="1:13" x14ac:dyDescent="0.25">
      <c r="A172" t="s">
        <v>144</v>
      </c>
      <c r="B172" t="s">
        <v>145</v>
      </c>
      <c r="C172" t="s">
        <v>122</v>
      </c>
      <c r="D172" t="s">
        <v>84</v>
      </c>
      <c r="E172" t="s">
        <v>85</v>
      </c>
      <c r="F172" t="s">
        <v>86</v>
      </c>
      <c r="G172" t="s">
        <v>122</v>
      </c>
      <c r="I172">
        <v>0</v>
      </c>
      <c r="J172" s="2">
        <v>3518000</v>
      </c>
      <c r="K172" s="2" t="s">
        <v>147</v>
      </c>
      <c r="L172" t="s">
        <v>123</v>
      </c>
      <c r="M172" t="s">
        <v>124</v>
      </c>
    </row>
    <row r="173" spans="1:13" x14ac:dyDescent="0.25">
      <c r="A173" t="s">
        <v>144</v>
      </c>
      <c r="B173" t="s">
        <v>145</v>
      </c>
      <c r="C173" t="s">
        <v>125</v>
      </c>
      <c r="D173" t="s">
        <v>84</v>
      </c>
      <c r="E173" t="s">
        <v>85</v>
      </c>
      <c r="F173" t="s">
        <v>86</v>
      </c>
      <c r="G173" t="s">
        <v>125</v>
      </c>
      <c r="I173">
        <v>0</v>
      </c>
      <c r="J173" s="2">
        <v>4814000</v>
      </c>
      <c r="K173" s="2" t="s">
        <v>146</v>
      </c>
      <c r="L173" t="s">
        <v>123</v>
      </c>
      <c r="M173" t="s">
        <v>124</v>
      </c>
    </row>
    <row r="174" spans="1:13" x14ac:dyDescent="0.25">
      <c r="A174" t="s">
        <v>144</v>
      </c>
      <c r="B174" t="s">
        <v>145</v>
      </c>
      <c r="C174" t="s">
        <v>125</v>
      </c>
      <c r="D174" t="s">
        <v>84</v>
      </c>
      <c r="E174" t="s">
        <v>85</v>
      </c>
      <c r="F174" t="s">
        <v>86</v>
      </c>
      <c r="G174" t="s">
        <v>125</v>
      </c>
      <c r="I174">
        <v>0</v>
      </c>
      <c r="J174" s="2">
        <v>2820000</v>
      </c>
      <c r="K174" s="2" t="s">
        <v>148</v>
      </c>
      <c r="L174" t="s">
        <v>123</v>
      </c>
      <c r="M174" t="s">
        <v>124</v>
      </c>
    </row>
    <row r="175" spans="1:13" x14ac:dyDescent="0.25">
      <c r="A175" t="s">
        <v>127</v>
      </c>
      <c r="B175" t="s">
        <v>82</v>
      </c>
      <c r="C175" t="s">
        <v>136</v>
      </c>
      <c r="D175" t="s">
        <v>84</v>
      </c>
      <c r="E175" t="s">
        <v>109</v>
      </c>
      <c r="F175" t="s">
        <v>136</v>
      </c>
      <c r="I175" s="2">
        <v>100000</v>
      </c>
      <c r="J175">
        <v>0</v>
      </c>
      <c r="K175" s="2" t="s">
        <v>87</v>
      </c>
      <c r="L175" t="s">
        <v>88</v>
      </c>
      <c r="M175" t="s">
        <v>126</v>
      </c>
    </row>
    <row r="176" spans="1:13" x14ac:dyDescent="0.25">
      <c r="A176" t="s">
        <v>127</v>
      </c>
      <c r="B176" t="s">
        <v>82</v>
      </c>
      <c r="C176" t="s">
        <v>108</v>
      </c>
      <c r="D176" t="s">
        <v>84</v>
      </c>
      <c r="E176" t="s">
        <v>109</v>
      </c>
      <c r="F176" t="s">
        <v>108</v>
      </c>
      <c r="I176" s="2">
        <v>128000</v>
      </c>
      <c r="J176">
        <v>0</v>
      </c>
      <c r="K176" s="2" t="s">
        <v>87</v>
      </c>
      <c r="L176" t="s">
        <v>88</v>
      </c>
      <c r="M176" t="s">
        <v>126</v>
      </c>
    </row>
    <row r="177" spans="1:13" x14ac:dyDescent="0.25">
      <c r="A177" t="s">
        <v>127</v>
      </c>
      <c r="B177" t="s">
        <v>82</v>
      </c>
      <c r="C177" t="s">
        <v>108</v>
      </c>
      <c r="D177" t="s">
        <v>84</v>
      </c>
      <c r="E177" t="s">
        <v>109</v>
      </c>
      <c r="F177" t="s">
        <v>108</v>
      </c>
      <c r="I177" s="2">
        <v>128000</v>
      </c>
      <c r="J177">
        <v>0</v>
      </c>
      <c r="K177" s="2" t="s">
        <v>140</v>
      </c>
      <c r="L177" t="s">
        <v>88</v>
      </c>
      <c r="M177" t="s">
        <v>126</v>
      </c>
    </row>
    <row r="178" spans="1:13" x14ac:dyDescent="0.25">
      <c r="A178" t="s">
        <v>127</v>
      </c>
      <c r="B178" t="s">
        <v>82</v>
      </c>
      <c r="C178" t="s">
        <v>103</v>
      </c>
      <c r="D178" t="s">
        <v>97</v>
      </c>
      <c r="E178" t="s">
        <v>103</v>
      </c>
      <c r="I178" s="2">
        <v>128000</v>
      </c>
      <c r="J178">
        <v>0</v>
      </c>
      <c r="K178" s="2" t="s">
        <v>137</v>
      </c>
      <c r="L178" t="s">
        <v>88</v>
      </c>
      <c r="M178" t="s">
        <v>126</v>
      </c>
    </row>
    <row r="179" spans="1:13" x14ac:dyDescent="0.25">
      <c r="A179" t="s">
        <v>127</v>
      </c>
      <c r="B179" t="s">
        <v>82</v>
      </c>
      <c r="C179" t="s">
        <v>108</v>
      </c>
      <c r="D179" t="s">
        <v>84</v>
      </c>
      <c r="E179" t="s">
        <v>109</v>
      </c>
      <c r="F179" t="s">
        <v>108</v>
      </c>
      <c r="I179" s="2">
        <v>128000</v>
      </c>
      <c r="J179">
        <v>0</v>
      </c>
      <c r="K179" s="2" t="s">
        <v>128</v>
      </c>
      <c r="L179" t="s">
        <v>88</v>
      </c>
      <c r="M179" t="s">
        <v>126</v>
      </c>
    </row>
    <row r="180" spans="1:13" x14ac:dyDescent="0.25">
      <c r="A180" t="s">
        <v>127</v>
      </c>
      <c r="B180" t="s">
        <v>82</v>
      </c>
      <c r="C180" t="s">
        <v>108</v>
      </c>
      <c r="D180" t="s">
        <v>84</v>
      </c>
      <c r="E180" t="s">
        <v>109</v>
      </c>
      <c r="F180" t="s">
        <v>108</v>
      </c>
      <c r="I180" s="2">
        <v>128000</v>
      </c>
      <c r="J180">
        <v>0</v>
      </c>
      <c r="K180" s="2" t="s">
        <v>87</v>
      </c>
      <c r="L180" t="s">
        <v>88</v>
      </c>
      <c r="M180" t="s">
        <v>126</v>
      </c>
    </row>
    <row r="181" spans="1:13" x14ac:dyDescent="0.25">
      <c r="A181" t="s">
        <v>127</v>
      </c>
      <c r="B181" t="s">
        <v>82</v>
      </c>
      <c r="C181" t="s">
        <v>108</v>
      </c>
      <c r="D181" t="s">
        <v>84</v>
      </c>
      <c r="E181" t="s">
        <v>109</v>
      </c>
      <c r="F181" t="s">
        <v>108</v>
      </c>
      <c r="I181" s="2">
        <v>128000</v>
      </c>
      <c r="J181">
        <v>0</v>
      </c>
      <c r="K181" s="2" t="s">
        <v>140</v>
      </c>
      <c r="L181" t="s">
        <v>88</v>
      </c>
      <c r="M181" t="s">
        <v>126</v>
      </c>
    </row>
    <row r="182" spans="1:13" x14ac:dyDescent="0.25">
      <c r="A182" t="s">
        <v>127</v>
      </c>
      <c r="B182" t="s">
        <v>82</v>
      </c>
      <c r="C182" t="s">
        <v>108</v>
      </c>
      <c r="D182" t="s">
        <v>84</v>
      </c>
      <c r="E182" t="s">
        <v>109</v>
      </c>
      <c r="F182" t="s">
        <v>108</v>
      </c>
      <c r="I182" s="2">
        <v>128000</v>
      </c>
      <c r="J182">
        <v>0</v>
      </c>
      <c r="K182" s="2" t="s">
        <v>137</v>
      </c>
      <c r="L182" t="s">
        <v>88</v>
      </c>
      <c r="M182" t="s">
        <v>126</v>
      </c>
    </row>
    <row r="183" spans="1:13" x14ac:dyDescent="0.25">
      <c r="A183" t="s">
        <v>127</v>
      </c>
      <c r="B183" t="s">
        <v>82</v>
      </c>
      <c r="C183" t="s">
        <v>108</v>
      </c>
      <c r="D183" t="s">
        <v>84</v>
      </c>
      <c r="E183" t="s">
        <v>109</v>
      </c>
      <c r="F183" t="s">
        <v>108</v>
      </c>
      <c r="I183" s="2">
        <v>128000</v>
      </c>
      <c r="J183">
        <v>0</v>
      </c>
      <c r="K183" s="2" t="s">
        <v>128</v>
      </c>
      <c r="L183" t="s">
        <v>88</v>
      </c>
      <c r="M183" t="s">
        <v>126</v>
      </c>
    </row>
    <row r="184" spans="1:13" x14ac:dyDescent="0.25">
      <c r="A184" t="s">
        <v>127</v>
      </c>
      <c r="B184" t="s">
        <v>82</v>
      </c>
      <c r="C184" t="s">
        <v>108</v>
      </c>
      <c r="D184" t="s">
        <v>84</v>
      </c>
      <c r="E184" t="s">
        <v>109</v>
      </c>
      <c r="F184" t="s">
        <v>108</v>
      </c>
      <c r="I184" s="2">
        <v>128000</v>
      </c>
      <c r="J184">
        <v>0</v>
      </c>
      <c r="K184" s="2" t="s">
        <v>87</v>
      </c>
      <c r="L184" t="s">
        <v>88</v>
      </c>
      <c r="M184" t="s">
        <v>126</v>
      </c>
    </row>
    <row r="185" spans="1:13" x14ac:dyDescent="0.25">
      <c r="A185" t="s">
        <v>127</v>
      </c>
      <c r="B185" t="s">
        <v>82</v>
      </c>
      <c r="C185" t="s">
        <v>108</v>
      </c>
      <c r="D185" t="s">
        <v>84</v>
      </c>
      <c r="E185" t="s">
        <v>109</v>
      </c>
      <c r="F185" t="s">
        <v>108</v>
      </c>
      <c r="I185" s="2">
        <v>128000</v>
      </c>
      <c r="J185">
        <v>0</v>
      </c>
      <c r="K185" s="2" t="s">
        <v>140</v>
      </c>
      <c r="L185" t="s">
        <v>88</v>
      </c>
      <c r="M185" t="s">
        <v>126</v>
      </c>
    </row>
    <row r="186" spans="1:13" x14ac:dyDescent="0.25">
      <c r="A186" t="s">
        <v>127</v>
      </c>
      <c r="B186" t="s">
        <v>82</v>
      </c>
      <c r="C186" t="s">
        <v>108</v>
      </c>
      <c r="D186" t="s">
        <v>84</v>
      </c>
      <c r="E186" t="s">
        <v>109</v>
      </c>
      <c r="F186" t="s">
        <v>108</v>
      </c>
      <c r="I186" s="2">
        <v>128000</v>
      </c>
      <c r="J186">
        <v>0</v>
      </c>
      <c r="K186" s="2" t="s">
        <v>137</v>
      </c>
      <c r="L186" t="s">
        <v>88</v>
      </c>
      <c r="M186" t="s">
        <v>126</v>
      </c>
    </row>
    <row r="187" spans="1:13" x14ac:dyDescent="0.25">
      <c r="A187" t="s">
        <v>127</v>
      </c>
      <c r="B187" t="s">
        <v>82</v>
      </c>
      <c r="C187" t="s">
        <v>108</v>
      </c>
      <c r="D187" t="s">
        <v>84</v>
      </c>
      <c r="E187" t="s">
        <v>109</v>
      </c>
      <c r="F187" t="s">
        <v>108</v>
      </c>
      <c r="I187" s="2">
        <v>128000</v>
      </c>
      <c r="J187">
        <v>0</v>
      </c>
      <c r="K187" s="2" t="s">
        <v>128</v>
      </c>
      <c r="L187" t="s">
        <v>88</v>
      </c>
      <c r="M187" t="s">
        <v>126</v>
      </c>
    </row>
    <row r="188" spans="1:13" x14ac:dyDescent="0.25">
      <c r="A188" t="s">
        <v>127</v>
      </c>
      <c r="B188" t="s">
        <v>82</v>
      </c>
      <c r="C188" t="s">
        <v>112</v>
      </c>
      <c r="D188" t="s">
        <v>84</v>
      </c>
      <c r="E188" t="s">
        <v>109</v>
      </c>
      <c r="F188" t="s">
        <v>112</v>
      </c>
      <c r="I188" s="2">
        <v>128000</v>
      </c>
      <c r="J188">
        <v>0</v>
      </c>
      <c r="K188" s="2" t="s">
        <v>87</v>
      </c>
      <c r="L188" t="s">
        <v>88</v>
      </c>
      <c r="M188" t="s">
        <v>126</v>
      </c>
    </row>
    <row r="189" spans="1:13" x14ac:dyDescent="0.25">
      <c r="A189" t="s">
        <v>127</v>
      </c>
      <c r="B189" t="s">
        <v>82</v>
      </c>
      <c r="C189" t="s">
        <v>112</v>
      </c>
      <c r="D189" t="s">
        <v>84</v>
      </c>
      <c r="E189" t="s">
        <v>109</v>
      </c>
      <c r="F189" t="s">
        <v>112</v>
      </c>
      <c r="I189" s="2">
        <v>128000</v>
      </c>
      <c r="J189">
        <v>0</v>
      </c>
      <c r="K189" s="2" t="s">
        <v>140</v>
      </c>
      <c r="L189" t="s">
        <v>88</v>
      </c>
      <c r="M189" t="s">
        <v>126</v>
      </c>
    </row>
    <row r="190" spans="1:13" x14ac:dyDescent="0.25">
      <c r="A190" t="s">
        <v>127</v>
      </c>
      <c r="B190" t="s">
        <v>82</v>
      </c>
      <c r="C190" t="s">
        <v>112</v>
      </c>
      <c r="D190" t="s">
        <v>84</v>
      </c>
      <c r="E190" t="s">
        <v>109</v>
      </c>
      <c r="F190" t="s">
        <v>112</v>
      </c>
      <c r="I190" s="2">
        <v>128000</v>
      </c>
      <c r="J190">
        <v>0</v>
      </c>
      <c r="K190" s="2" t="s">
        <v>137</v>
      </c>
      <c r="L190" t="s">
        <v>88</v>
      </c>
      <c r="M190" t="s">
        <v>126</v>
      </c>
    </row>
    <row r="191" spans="1:13" x14ac:dyDescent="0.25">
      <c r="A191" t="s">
        <v>127</v>
      </c>
      <c r="B191" t="s">
        <v>82</v>
      </c>
      <c r="C191" t="s">
        <v>112</v>
      </c>
      <c r="D191" t="s">
        <v>84</v>
      </c>
      <c r="E191" t="s">
        <v>109</v>
      </c>
      <c r="F191" t="s">
        <v>112</v>
      </c>
      <c r="I191" s="2">
        <v>128000</v>
      </c>
      <c r="J191">
        <v>0</v>
      </c>
      <c r="K191" s="2" t="s">
        <v>87</v>
      </c>
      <c r="L191" t="s">
        <v>88</v>
      </c>
      <c r="M191" t="s">
        <v>126</v>
      </c>
    </row>
    <row r="192" spans="1:13" x14ac:dyDescent="0.25">
      <c r="A192" t="s">
        <v>127</v>
      </c>
      <c r="B192" t="s">
        <v>82</v>
      </c>
      <c r="C192" t="s">
        <v>108</v>
      </c>
      <c r="D192" t="s">
        <v>84</v>
      </c>
      <c r="E192" t="s">
        <v>109</v>
      </c>
      <c r="F192" t="s">
        <v>108</v>
      </c>
      <c r="I192" s="2">
        <v>128000</v>
      </c>
      <c r="J192">
        <v>0</v>
      </c>
      <c r="K192" s="2" t="s">
        <v>87</v>
      </c>
      <c r="L192" t="s">
        <v>88</v>
      </c>
      <c r="M192" t="s">
        <v>126</v>
      </c>
    </row>
    <row r="193" spans="1:13" x14ac:dyDescent="0.25">
      <c r="A193" t="s">
        <v>127</v>
      </c>
      <c r="B193" t="s">
        <v>82</v>
      </c>
      <c r="C193" t="s">
        <v>108</v>
      </c>
      <c r="D193" t="s">
        <v>84</v>
      </c>
      <c r="E193" t="s">
        <v>109</v>
      </c>
      <c r="F193" t="s">
        <v>108</v>
      </c>
      <c r="I193" s="2">
        <v>128000</v>
      </c>
      <c r="J193">
        <v>0</v>
      </c>
      <c r="K193" s="2" t="s">
        <v>140</v>
      </c>
      <c r="L193" t="s">
        <v>88</v>
      </c>
      <c r="M193" t="s">
        <v>126</v>
      </c>
    </row>
    <row r="194" spans="1:13" x14ac:dyDescent="0.25">
      <c r="A194" t="s">
        <v>127</v>
      </c>
      <c r="B194" t="s">
        <v>82</v>
      </c>
      <c r="C194" t="s">
        <v>108</v>
      </c>
      <c r="D194" t="s">
        <v>84</v>
      </c>
      <c r="E194" t="s">
        <v>109</v>
      </c>
      <c r="F194" t="s">
        <v>108</v>
      </c>
      <c r="I194" s="2">
        <v>128000</v>
      </c>
      <c r="J194">
        <v>0</v>
      </c>
      <c r="K194" s="2" t="s">
        <v>137</v>
      </c>
      <c r="L194" t="s">
        <v>88</v>
      </c>
      <c r="M194" t="s">
        <v>126</v>
      </c>
    </row>
    <row r="195" spans="1:13" x14ac:dyDescent="0.25">
      <c r="A195" t="s">
        <v>127</v>
      </c>
      <c r="B195" t="s">
        <v>82</v>
      </c>
      <c r="C195" t="s">
        <v>103</v>
      </c>
      <c r="D195" t="s">
        <v>97</v>
      </c>
      <c r="E195" t="s">
        <v>103</v>
      </c>
      <c r="I195" s="2">
        <v>128000</v>
      </c>
      <c r="J195">
        <v>0</v>
      </c>
      <c r="K195" s="2" t="s">
        <v>128</v>
      </c>
      <c r="L195" t="s">
        <v>88</v>
      </c>
      <c r="M195" t="s">
        <v>126</v>
      </c>
    </row>
    <row r="196" spans="1:13" x14ac:dyDescent="0.25">
      <c r="A196" t="s">
        <v>127</v>
      </c>
      <c r="B196" t="s">
        <v>82</v>
      </c>
      <c r="C196" t="s">
        <v>108</v>
      </c>
      <c r="D196" t="s">
        <v>84</v>
      </c>
      <c r="E196" t="s">
        <v>109</v>
      </c>
      <c r="F196" t="s">
        <v>108</v>
      </c>
      <c r="I196" s="2">
        <v>128000</v>
      </c>
      <c r="J196">
        <v>0</v>
      </c>
      <c r="K196" s="2" t="s">
        <v>87</v>
      </c>
      <c r="L196" t="s">
        <v>88</v>
      </c>
      <c r="M196" t="s">
        <v>126</v>
      </c>
    </row>
    <row r="197" spans="1:13" x14ac:dyDescent="0.25">
      <c r="A197" t="s">
        <v>127</v>
      </c>
      <c r="B197" t="s">
        <v>82</v>
      </c>
      <c r="C197" t="s">
        <v>108</v>
      </c>
      <c r="D197" t="s">
        <v>84</v>
      </c>
      <c r="E197" t="s">
        <v>109</v>
      </c>
      <c r="F197" t="s">
        <v>108</v>
      </c>
      <c r="I197" s="2">
        <v>128000</v>
      </c>
      <c r="J197">
        <v>0</v>
      </c>
      <c r="K197" s="2" t="s">
        <v>128</v>
      </c>
      <c r="L197" t="s">
        <v>88</v>
      </c>
      <c r="M197" t="s">
        <v>126</v>
      </c>
    </row>
    <row r="198" spans="1:13" x14ac:dyDescent="0.25">
      <c r="A198" t="s">
        <v>127</v>
      </c>
      <c r="B198" t="s">
        <v>82</v>
      </c>
      <c r="C198" t="s">
        <v>108</v>
      </c>
      <c r="D198" t="s">
        <v>84</v>
      </c>
      <c r="E198" t="s">
        <v>109</v>
      </c>
      <c r="F198" t="s">
        <v>108</v>
      </c>
      <c r="I198" s="2">
        <v>128000</v>
      </c>
      <c r="J198">
        <v>0</v>
      </c>
      <c r="K198" s="2" t="s">
        <v>87</v>
      </c>
      <c r="L198" t="s">
        <v>88</v>
      </c>
      <c r="M198" t="s">
        <v>126</v>
      </c>
    </row>
    <row r="199" spans="1:13" x14ac:dyDescent="0.25">
      <c r="A199" t="s">
        <v>127</v>
      </c>
      <c r="B199" t="s">
        <v>82</v>
      </c>
      <c r="C199" t="s">
        <v>103</v>
      </c>
      <c r="D199" t="s">
        <v>97</v>
      </c>
      <c r="E199" t="s">
        <v>103</v>
      </c>
      <c r="I199" s="2">
        <v>128000</v>
      </c>
      <c r="J199">
        <v>0</v>
      </c>
      <c r="K199" s="2" t="s">
        <v>140</v>
      </c>
      <c r="L199" t="s">
        <v>88</v>
      </c>
      <c r="M199" t="s">
        <v>126</v>
      </c>
    </row>
    <row r="200" spans="1:13" x14ac:dyDescent="0.25">
      <c r="A200" t="s">
        <v>127</v>
      </c>
      <c r="B200" t="s">
        <v>82</v>
      </c>
      <c r="C200" t="s">
        <v>113</v>
      </c>
      <c r="D200" t="s">
        <v>84</v>
      </c>
      <c r="E200" t="s">
        <v>85</v>
      </c>
      <c r="F200" t="s">
        <v>86</v>
      </c>
      <c r="G200" t="s">
        <v>113</v>
      </c>
      <c r="I200">
        <v>0</v>
      </c>
      <c r="J200" s="2">
        <v>160000</v>
      </c>
      <c r="K200" s="2" t="s">
        <v>87</v>
      </c>
      <c r="L200" t="s">
        <v>88</v>
      </c>
      <c r="M200" t="s">
        <v>126</v>
      </c>
    </row>
    <row r="201" spans="1:13" x14ac:dyDescent="0.25">
      <c r="A201" t="s">
        <v>127</v>
      </c>
      <c r="B201" t="s">
        <v>82</v>
      </c>
      <c r="C201" t="s">
        <v>113</v>
      </c>
      <c r="D201" t="s">
        <v>84</v>
      </c>
      <c r="E201" t="s">
        <v>85</v>
      </c>
      <c r="F201" t="s">
        <v>86</v>
      </c>
      <c r="G201" t="s">
        <v>113</v>
      </c>
      <c r="I201">
        <v>0</v>
      </c>
      <c r="J201" s="2">
        <v>160000</v>
      </c>
      <c r="K201" s="2" t="s">
        <v>140</v>
      </c>
      <c r="L201" t="s">
        <v>88</v>
      </c>
      <c r="M201" t="s">
        <v>126</v>
      </c>
    </row>
    <row r="202" spans="1:13" x14ac:dyDescent="0.25">
      <c r="A202" t="s">
        <v>127</v>
      </c>
      <c r="B202" t="s">
        <v>82</v>
      </c>
      <c r="C202" t="s">
        <v>113</v>
      </c>
      <c r="D202" t="s">
        <v>84</v>
      </c>
      <c r="E202" t="s">
        <v>85</v>
      </c>
      <c r="F202" t="s">
        <v>86</v>
      </c>
      <c r="G202" t="s">
        <v>113</v>
      </c>
      <c r="I202">
        <v>0</v>
      </c>
      <c r="J202" s="2">
        <v>160000</v>
      </c>
      <c r="K202" s="2" t="s">
        <v>137</v>
      </c>
      <c r="L202" t="s">
        <v>88</v>
      </c>
      <c r="M202" t="s">
        <v>126</v>
      </c>
    </row>
    <row r="203" spans="1:13" x14ac:dyDescent="0.25">
      <c r="A203" t="s">
        <v>127</v>
      </c>
      <c r="B203" t="s">
        <v>82</v>
      </c>
      <c r="C203" t="s">
        <v>113</v>
      </c>
      <c r="D203" t="s">
        <v>84</v>
      </c>
      <c r="E203" t="s">
        <v>85</v>
      </c>
      <c r="F203" t="s">
        <v>86</v>
      </c>
      <c r="G203" t="s">
        <v>113</v>
      </c>
      <c r="I203">
        <v>0</v>
      </c>
      <c r="J203" s="2">
        <v>160000</v>
      </c>
      <c r="K203" s="2" t="s">
        <v>128</v>
      </c>
      <c r="L203" t="s">
        <v>88</v>
      </c>
      <c r="M203" t="s">
        <v>126</v>
      </c>
    </row>
    <row r="204" spans="1:13" x14ac:dyDescent="0.25">
      <c r="A204" t="s">
        <v>127</v>
      </c>
      <c r="B204" t="s">
        <v>82</v>
      </c>
      <c r="C204" t="s">
        <v>117</v>
      </c>
      <c r="D204" t="s">
        <v>84</v>
      </c>
      <c r="E204" t="s">
        <v>85</v>
      </c>
      <c r="F204" t="s">
        <v>86</v>
      </c>
      <c r="G204" t="s">
        <v>117</v>
      </c>
      <c r="I204">
        <v>0</v>
      </c>
      <c r="J204" s="2">
        <v>160000</v>
      </c>
      <c r="K204" s="2" t="s">
        <v>87</v>
      </c>
      <c r="L204" t="s">
        <v>88</v>
      </c>
      <c r="M204" t="s">
        <v>126</v>
      </c>
    </row>
    <row r="205" spans="1:13" x14ac:dyDescent="0.25">
      <c r="A205" t="s">
        <v>127</v>
      </c>
      <c r="B205" t="s">
        <v>82</v>
      </c>
      <c r="C205" t="s">
        <v>83</v>
      </c>
      <c r="D205" t="s">
        <v>84</v>
      </c>
      <c r="E205" t="s">
        <v>85</v>
      </c>
      <c r="F205" t="s">
        <v>86</v>
      </c>
      <c r="G205" t="s">
        <v>83</v>
      </c>
      <c r="I205">
        <v>0</v>
      </c>
      <c r="J205" s="2">
        <v>160000</v>
      </c>
      <c r="K205" s="2" t="s">
        <v>128</v>
      </c>
      <c r="L205" t="s">
        <v>88</v>
      </c>
      <c r="M205" t="s">
        <v>126</v>
      </c>
    </row>
    <row r="206" spans="1:13" x14ac:dyDescent="0.25">
      <c r="A206" t="s">
        <v>127</v>
      </c>
      <c r="B206" t="s">
        <v>82</v>
      </c>
      <c r="C206" t="s">
        <v>113</v>
      </c>
      <c r="D206" t="s">
        <v>84</v>
      </c>
      <c r="E206" t="s">
        <v>85</v>
      </c>
      <c r="F206" t="s">
        <v>86</v>
      </c>
      <c r="G206" t="s">
        <v>113</v>
      </c>
      <c r="I206">
        <v>0</v>
      </c>
      <c r="J206" s="2">
        <v>160000</v>
      </c>
      <c r="K206" s="2" t="s">
        <v>87</v>
      </c>
      <c r="L206" t="s">
        <v>88</v>
      </c>
      <c r="M206" t="s">
        <v>126</v>
      </c>
    </row>
    <row r="207" spans="1:13" x14ac:dyDescent="0.25">
      <c r="A207" t="s">
        <v>127</v>
      </c>
      <c r="B207" t="s">
        <v>82</v>
      </c>
      <c r="C207" t="s">
        <v>113</v>
      </c>
      <c r="D207" t="s">
        <v>84</v>
      </c>
      <c r="E207" t="s">
        <v>85</v>
      </c>
      <c r="F207" t="s">
        <v>86</v>
      </c>
      <c r="G207" t="s">
        <v>113</v>
      </c>
      <c r="I207">
        <v>0</v>
      </c>
      <c r="J207" s="2">
        <v>160000</v>
      </c>
      <c r="K207" s="2" t="s">
        <v>140</v>
      </c>
      <c r="L207" t="s">
        <v>88</v>
      </c>
      <c r="M207" t="s">
        <v>126</v>
      </c>
    </row>
    <row r="208" spans="1:13" x14ac:dyDescent="0.25">
      <c r="A208" t="s">
        <v>127</v>
      </c>
      <c r="B208" t="s">
        <v>82</v>
      </c>
      <c r="C208" t="s">
        <v>113</v>
      </c>
      <c r="D208" t="s">
        <v>84</v>
      </c>
      <c r="E208" t="s">
        <v>85</v>
      </c>
      <c r="F208" t="s">
        <v>86</v>
      </c>
      <c r="G208" t="s">
        <v>113</v>
      </c>
      <c r="I208">
        <v>0</v>
      </c>
      <c r="J208" s="2">
        <v>160000</v>
      </c>
      <c r="K208" s="2" t="s">
        <v>87</v>
      </c>
      <c r="L208" t="s">
        <v>88</v>
      </c>
      <c r="M208" t="s">
        <v>126</v>
      </c>
    </row>
    <row r="209" spans="1:13" x14ac:dyDescent="0.25">
      <c r="A209" t="s">
        <v>127</v>
      </c>
      <c r="B209" t="s">
        <v>82</v>
      </c>
      <c r="C209" t="s">
        <v>113</v>
      </c>
      <c r="D209" t="s">
        <v>84</v>
      </c>
      <c r="E209" t="s">
        <v>85</v>
      </c>
      <c r="F209" t="s">
        <v>86</v>
      </c>
      <c r="G209" t="s">
        <v>113</v>
      </c>
      <c r="I209">
        <v>0</v>
      </c>
      <c r="J209" s="2">
        <v>160000</v>
      </c>
      <c r="K209" s="2" t="s">
        <v>140</v>
      </c>
      <c r="L209" t="s">
        <v>88</v>
      </c>
      <c r="M209" t="s">
        <v>126</v>
      </c>
    </row>
    <row r="210" spans="1:13" x14ac:dyDescent="0.25">
      <c r="A210" t="s">
        <v>127</v>
      </c>
      <c r="B210" t="s">
        <v>82</v>
      </c>
      <c r="C210" t="s">
        <v>113</v>
      </c>
      <c r="D210" t="s">
        <v>84</v>
      </c>
      <c r="E210" t="s">
        <v>85</v>
      </c>
      <c r="F210" t="s">
        <v>86</v>
      </c>
      <c r="G210" t="s">
        <v>113</v>
      </c>
      <c r="I210">
        <v>0</v>
      </c>
      <c r="J210" s="2">
        <v>160000</v>
      </c>
      <c r="K210" s="2" t="s">
        <v>137</v>
      </c>
      <c r="L210" t="s">
        <v>88</v>
      </c>
      <c r="M210" t="s">
        <v>126</v>
      </c>
    </row>
    <row r="211" spans="1:13" x14ac:dyDescent="0.25">
      <c r="A211" t="s">
        <v>127</v>
      </c>
      <c r="B211" t="s">
        <v>82</v>
      </c>
      <c r="C211" t="s">
        <v>113</v>
      </c>
      <c r="D211" t="s">
        <v>84</v>
      </c>
      <c r="E211" t="s">
        <v>85</v>
      </c>
      <c r="F211" t="s">
        <v>86</v>
      </c>
      <c r="G211" t="s">
        <v>113</v>
      </c>
      <c r="I211">
        <v>0</v>
      </c>
      <c r="J211" s="2">
        <v>160000</v>
      </c>
      <c r="K211" s="2" t="s">
        <v>128</v>
      </c>
      <c r="L211" t="s">
        <v>88</v>
      </c>
      <c r="M211" t="s">
        <v>126</v>
      </c>
    </row>
    <row r="212" spans="1:13" x14ac:dyDescent="0.25">
      <c r="A212" t="s">
        <v>127</v>
      </c>
      <c r="B212" t="s">
        <v>82</v>
      </c>
      <c r="C212" t="s">
        <v>113</v>
      </c>
      <c r="D212" t="s">
        <v>84</v>
      </c>
      <c r="E212" t="s">
        <v>85</v>
      </c>
      <c r="F212" t="s">
        <v>86</v>
      </c>
      <c r="G212" t="s">
        <v>113</v>
      </c>
      <c r="I212">
        <v>0</v>
      </c>
      <c r="J212" s="2">
        <v>160000</v>
      </c>
      <c r="K212" s="2" t="s">
        <v>87</v>
      </c>
      <c r="L212" t="s">
        <v>88</v>
      </c>
      <c r="M212" t="s">
        <v>126</v>
      </c>
    </row>
    <row r="213" spans="1:13" x14ac:dyDescent="0.25">
      <c r="A213" t="s">
        <v>144</v>
      </c>
      <c r="B213" t="s">
        <v>145</v>
      </c>
      <c r="C213" t="s">
        <v>121</v>
      </c>
      <c r="D213" t="s">
        <v>84</v>
      </c>
      <c r="E213" t="s">
        <v>109</v>
      </c>
      <c r="F213" t="s">
        <v>121</v>
      </c>
      <c r="I213" s="2">
        <v>400000</v>
      </c>
      <c r="J213">
        <v>0</v>
      </c>
      <c r="K213" s="2" t="s">
        <v>147</v>
      </c>
      <c r="L213" t="s">
        <v>88</v>
      </c>
      <c r="M213" t="s">
        <v>126</v>
      </c>
    </row>
    <row r="214" spans="1:13" x14ac:dyDescent="0.25">
      <c r="A214" t="s">
        <v>127</v>
      </c>
      <c r="B214" t="s">
        <v>82</v>
      </c>
      <c r="C214" t="s">
        <v>108</v>
      </c>
      <c r="D214" t="s">
        <v>84</v>
      </c>
      <c r="E214" t="s">
        <v>109</v>
      </c>
      <c r="F214" t="s">
        <v>108</v>
      </c>
      <c r="I214" s="2">
        <v>256000</v>
      </c>
      <c r="J214">
        <v>0</v>
      </c>
      <c r="K214" s="2" t="s">
        <v>87</v>
      </c>
      <c r="L214" t="s">
        <v>123</v>
      </c>
      <c r="M214" t="s">
        <v>149</v>
      </c>
    </row>
    <row r="215" spans="1:13" x14ac:dyDescent="0.25">
      <c r="A215" t="s">
        <v>127</v>
      </c>
      <c r="B215" t="s">
        <v>82</v>
      </c>
      <c r="C215" t="s">
        <v>108</v>
      </c>
      <c r="D215" t="s">
        <v>84</v>
      </c>
      <c r="E215" t="s">
        <v>109</v>
      </c>
      <c r="F215" t="s">
        <v>108</v>
      </c>
      <c r="I215" s="2">
        <v>256000</v>
      </c>
      <c r="J215">
        <v>0</v>
      </c>
      <c r="K215" s="2" t="s">
        <v>140</v>
      </c>
      <c r="L215" t="s">
        <v>123</v>
      </c>
      <c r="M215" t="s">
        <v>149</v>
      </c>
    </row>
    <row r="216" spans="1:13" x14ac:dyDescent="0.25">
      <c r="A216" t="s">
        <v>127</v>
      </c>
      <c r="B216" t="s">
        <v>82</v>
      </c>
      <c r="C216" t="s">
        <v>103</v>
      </c>
      <c r="D216" t="s">
        <v>97</v>
      </c>
      <c r="E216" t="s">
        <v>103</v>
      </c>
      <c r="I216" s="2">
        <v>256000</v>
      </c>
      <c r="J216">
        <v>0</v>
      </c>
      <c r="K216" s="2" t="s">
        <v>137</v>
      </c>
      <c r="L216" t="s">
        <v>123</v>
      </c>
      <c r="M216" t="s">
        <v>149</v>
      </c>
    </row>
    <row r="217" spans="1:13" x14ac:dyDescent="0.25">
      <c r="A217" t="s">
        <v>127</v>
      </c>
      <c r="B217" t="s">
        <v>82</v>
      </c>
      <c r="C217" t="s">
        <v>108</v>
      </c>
      <c r="D217" t="s">
        <v>84</v>
      </c>
      <c r="E217" t="s">
        <v>109</v>
      </c>
      <c r="F217" t="s">
        <v>108</v>
      </c>
      <c r="I217" s="2">
        <v>256000</v>
      </c>
      <c r="J217">
        <v>0</v>
      </c>
      <c r="K217" s="2" t="s">
        <v>128</v>
      </c>
      <c r="L217" t="s">
        <v>123</v>
      </c>
      <c r="M217" t="s">
        <v>149</v>
      </c>
    </row>
    <row r="218" spans="1:13" x14ac:dyDescent="0.25">
      <c r="A218" t="s">
        <v>127</v>
      </c>
      <c r="B218" t="s">
        <v>82</v>
      </c>
      <c r="C218" t="s">
        <v>108</v>
      </c>
      <c r="D218" t="s">
        <v>84</v>
      </c>
      <c r="E218" t="s">
        <v>109</v>
      </c>
      <c r="F218" t="s">
        <v>108</v>
      </c>
      <c r="I218" s="2">
        <v>256000</v>
      </c>
      <c r="J218">
        <v>0</v>
      </c>
      <c r="K218" s="2" t="s">
        <v>87</v>
      </c>
      <c r="L218" t="s">
        <v>123</v>
      </c>
      <c r="M218" t="s">
        <v>149</v>
      </c>
    </row>
    <row r="219" spans="1:13" x14ac:dyDescent="0.25">
      <c r="A219" t="s">
        <v>127</v>
      </c>
      <c r="B219" t="s">
        <v>82</v>
      </c>
      <c r="C219" t="s">
        <v>108</v>
      </c>
      <c r="D219" t="s">
        <v>84</v>
      </c>
      <c r="E219" t="s">
        <v>109</v>
      </c>
      <c r="F219" t="s">
        <v>108</v>
      </c>
      <c r="I219" s="2">
        <v>256000</v>
      </c>
      <c r="J219">
        <v>0</v>
      </c>
      <c r="K219" s="2" t="s">
        <v>140</v>
      </c>
      <c r="L219" t="s">
        <v>123</v>
      </c>
      <c r="M219" t="s">
        <v>149</v>
      </c>
    </row>
    <row r="220" spans="1:13" x14ac:dyDescent="0.25">
      <c r="A220" t="s">
        <v>127</v>
      </c>
      <c r="B220" t="s">
        <v>82</v>
      </c>
      <c r="C220" t="s">
        <v>108</v>
      </c>
      <c r="D220" t="s">
        <v>84</v>
      </c>
      <c r="E220" t="s">
        <v>109</v>
      </c>
      <c r="F220" t="s">
        <v>108</v>
      </c>
      <c r="I220" s="2">
        <v>256000</v>
      </c>
      <c r="J220">
        <v>0</v>
      </c>
      <c r="K220" s="2" t="s">
        <v>137</v>
      </c>
      <c r="L220" t="s">
        <v>123</v>
      </c>
      <c r="M220" t="s">
        <v>149</v>
      </c>
    </row>
    <row r="221" spans="1:13" x14ac:dyDescent="0.25">
      <c r="A221" t="s">
        <v>127</v>
      </c>
      <c r="B221" t="s">
        <v>82</v>
      </c>
      <c r="C221" t="s">
        <v>108</v>
      </c>
      <c r="D221" t="s">
        <v>84</v>
      </c>
      <c r="E221" t="s">
        <v>109</v>
      </c>
      <c r="F221" t="s">
        <v>108</v>
      </c>
      <c r="I221" s="2">
        <v>256000</v>
      </c>
      <c r="J221">
        <v>0</v>
      </c>
      <c r="K221" s="2" t="s">
        <v>128</v>
      </c>
      <c r="L221" t="s">
        <v>123</v>
      </c>
      <c r="M221" t="s">
        <v>149</v>
      </c>
    </row>
    <row r="222" spans="1:13" x14ac:dyDescent="0.25">
      <c r="A222" t="s">
        <v>127</v>
      </c>
      <c r="B222" t="s">
        <v>82</v>
      </c>
      <c r="C222" t="s">
        <v>108</v>
      </c>
      <c r="D222" t="s">
        <v>84</v>
      </c>
      <c r="E222" t="s">
        <v>109</v>
      </c>
      <c r="F222" t="s">
        <v>108</v>
      </c>
      <c r="I222" s="2">
        <v>256000</v>
      </c>
      <c r="J222">
        <v>0</v>
      </c>
      <c r="K222" s="2" t="s">
        <v>87</v>
      </c>
      <c r="L222" t="s">
        <v>123</v>
      </c>
      <c r="M222" t="s">
        <v>149</v>
      </c>
    </row>
    <row r="223" spans="1:13" x14ac:dyDescent="0.25">
      <c r="A223" t="s">
        <v>127</v>
      </c>
      <c r="B223" t="s">
        <v>82</v>
      </c>
      <c r="C223" t="s">
        <v>108</v>
      </c>
      <c r="D223" t="s">
        <v>84</v>
      </c>
      <c r="E223" t="s">
        <v>109</v>
      </c>
      <c r="F223" t="s">
        <v>108</v>
      </c>
      <c r="I223" s="2">
        <v>256000</v>
      </c>
      <c r="J223">
        <v>0</v>
      </c>
      <c r="K223" s="2" t="s">
        <v>140</v>
      </c>
      <c r="L223" t="s">
        <v>123</v>
      </c>
      <c r="M223" t="s">
        <v>149</v>
      </c>
    </row>
    <row r="224" spans="1:13" x14ac:dyDescent="0.25">
      <c r="A224" t="s">
        <v>127</v>
      </c>
      <c r="B224" t="s">
        <v>82</v>
      </c>
      <c r="C224" t="s">
        <v>108</v>
      </c>
      <c r="D224" t="s">
        <v>84</v>
      </c>
      <c r="E224" t="s">
        <v>109</v>
      </c>
      <c r="F224" t="s">
        <v>108</v>
      </c>
      <c r="I224" s="2">
        <v>256000</v>
      </c>
      <c r="J224">
        <v>0</v>
      </c>
      <c r="K224" s="2" t="s">
        <v>137</v>
      </c>
      <c r="L224" t="s">
        <v>123</v>
      </c>
      <c r="M224" t="s">
        <v>149</v>
      </c>
    </row>
    <row r="225" spans="1:13" x14ac:dyDescent="0.25">
      <c r="A225" t="s">
        <v>127</v>
      </c>
      <c r="B225" t="s">
        <v>82</v>
      </c>
      <c r="C225" t="s">
        <v>108</v>
      </c>
      <c r="D225" t="s">
        <v>84</v>
      </c>
      <c r="E225" t="s">
        <v>109</v>
      </c>
      <c r="F225" t="s">
        <v>108</v>
      </c>
      <c r="I225" s="2">
        <v>256000</v>
      </c>
      <c r="J225">
        <v>0</v>
      </c>
      <c r="K225" s="2" t="s">
        <v>128</v>
      </c>
      <c r="L225" t="s">
        <v>123</v>
      </c>
      <c r="M225" t="s">
        <v>149</v>
      </c>
    </row>
    <row r="226" spans="1:13" x14ac:dyDescent="0.25">
      <c r="A226" t="s">
        <v>127</v>
      </c>
      <c r="B226" t="s">
        <v>82</v>
      </c>
      <c r="C226" t="s">
        <v>112</v>
      </c>
      <c r="D226" t="s">
        <v>84</v>
      </c>
      <c r="E226" t="s">
        <v>109</v>
      </c>
      <c r="F226" t="s">
        <v>112</v>
      </c>
      <c r="I226" s="2">
        <v>256000</v>
      </c>
      <c r="J226">
        <v>0</v>
      </c>
      <c r="K226" s="2" t="s">
        <v>87</v>
      </c>
      <c r="L226" t="s">
        <v>123</v>
      </c>
      <c r="M226" t="s">
        <v>149</v>
      </c>
    </row>
    <row r="227" spans="1:13" x14ac:dyDescent="0.25">
      <c r="A227" t="s">
        <v>127</v>
      </c>
      <c r="B227" t="s">
        <v>82</v>
      </c>
      <c r="C227" t="s">
        <v>112</v>
      </c>
      <c r="D227" t="s">
        <v>84</v>
      </c>
      <c r="E227" t="s">
        <v>109</v>
      </c>
      <c r="F227" t="s">
        <v>112</v>
      </c>
      <c r="I227" s="2">
        <v>256000</v>
      </c>
      <c r="J227">
        <v>0</v>
      </c>
      <c r="K227" s="2" t="s">
        <v>140</v>
      </c>
      <c r="L227" t="s">
        <v>123</v>
      </c>
      <c r="M227" t="s">
        <v>149</v>
      </c>
    </row>
    <row r="228" spans="1:13" x14ac:dyDescent="0.25">
      <c r="A228" t="s">
        <v>127</v>
      </c>
      <c r="B228" t="s">
        <v>82</v>
      </c>
      <c r="C228" t="s">
        <v>112</v>
      </c>
      <c r="D228" t="s">
        <v>84</v>
      </c>
      <c r="E228" t="s">
        <v>109</v>
      </c>
      <c r="F228" t="s">
        <v>112</v>
      </c>
      <c r="I228" s="2">
        <v>256000</v>
      </c>
      <c r="J228">
        <v>0</v>
      </c>
      <c r="K228" s="2" t="s">
        <v>137</v>
      </c>
      <c r="L228" t="s">
        <v>123</v>
      </c>
      <c r="M228" t="s">
        <v>149</v>
      </c>
    </row>
    <row r="229" spans="1:13" x14ac:dyDescent="0.25">
      <c r="A229" t="s">
        <v>127</v>
      </c>
      <c r="B229" t="s">
        <v>82</v>
      </c>
      <c r="C229" t="s">
        <v>112</v>
      </c>
      <c r="D229" t="s">
        <v>84</v>
      </c>
      <c r="E229" t="s">
        <v>109</v>
      </c>
      <c r="F229" t="s">
        <v>112</v>
      </c>
      <c r="I229" s="2">
        <v>256000</v>
      </c>
      <c r="J229">
        <v>0</v>
      </c>
      <c r="K229" s="2" t="s">
        <v>87</v>
      </c>
      <c r="L229" t="s">
        <v>123</v>
      </c>
      <c r="M229" t="s">
        <v>149</v>
      </c>
    </row>
    <row r="230" spans="1:13" x14ac:dyDescent="0.25">
      <c r="A230" t="s">
        <v>127</v>
      </c>
      <c r="B230" t="s">
        <v>82</v>
      </c>
      <c r="C230" t="s">
        <v>108</v>
      </c>
      <c r="D230" t="s">
        <v>84</v>
      </c>
      <c r="E230" t="s">
        <v>109</v>
      </c>
      <c r="F230" t="s">
        <v>108</v>
      </c>
      <c r="I230" s="2">
        <v>256000</v>
      </c>
      <c r="J230">
        <v>0</v>
      </c>
      <c r="K230" s="2" t="s">
        <v>87</v>
      </c>
      <c r="L230" t="s">
        <v>123</v>
      </c>
      <c r="M230" t="s">
        <v>149</v>
      </c>
    </row>
    <row r="231" spans="1:13" x14ac:dyDescent="0.25">
      <c r="A231" t="s">
        <v>127</v>
      </c>
      <c r="B231" t="s">
        <v>82</v>
      </c>
      <c r="C231" t="s">
        <v>108</v>
      </c>
      <c r="D231" t="s">
        <v>84</v>
      </c>
      <c r="E231" t="s">
        <v>109</v>
      </c>
      <c r="F231" t="s">
        <v>108</v>
      </c>
      <c r="I231" s="2">
        <v>256000</v>
      </c>
      <c r="J231">
        <v>0</v>
      </c>
      <c r="K231" s="2" t="s">
        <v>140</v>
      </c>
      <c r="L231" t="s">
        <v>123</v>
      </c>
      <c r="M231" t="s">
        <v>149</v>
      </c>
    </row>
    <row r="232" spans="1:13" x14ac:dyDescent="0.25">
      <c r="A232" t="s">
        <v>127</v>
      </c>
      <c r="B232" t="s">
        <v>82</v>
      </c>
      <c r="C232" t="s">
        <v>108</v>
      </c>
      <c r="D232" t="s">
        <v>84</v>
      </c>
      <c r="E232" t="s">
        <v>109</v>
      </c>
      <c r="F232" t="s">
        <v>108</v>
      </c>
      <c r="I232" s="2">
        <v>256000</v>
      </c>
      <c r="J232">
        <v>0</v>
      </c>
      <c r="K232" s="2" t="s">
        <v>137</v>
      </c>
      <c r="L232" t="s">
        <v>123</v>
      </c>
      <c r="M232" t="s">
        <v>149</v>
      </c>
    </row>
    <row r="233" spans="1:13" x14ac:dyDescent="0.25">
      <c r="A233" t="s">
        <v>127</v>
      </c>
      <c r="B233" t="s">
        <v>82</v>
      </c>
      <c r="C233" t="s">
        <v>103</v>
      </c>
      <c r="D233" t="s">
        <v>97</v>
      </c>
      <c r="E233" t="s">
        <v>103</v>
      </c>
      <c r="I233" s="2">
        <v>256000</v>
      </c>
      <c r="J233">
        <v>0</v>
      </c>
      <c r="K233" s="2" t="s">
        <v>128</v>
      </c>
      <c r="L233" t="s">
        <v>123</v>
      </c>
      <c r="M233" t="s">
        <v>149</v>
      </c>
    </row>
    <row r="234" spans="1:13" x14ac:dyDescent="0.25">
      <c r="A234" t="s">
        <v>127</v>
      </c>
      <c r="B234" t="s">
        <v>82</v>
      </c>
      <c r="C234" t="s">
        <v>108</v>
      </c>
      <c r="D234" t="s">
        <v>84</v>
      </c>
      <c r="E234" t="s">
        <v>109</v>
      </c>
      <c r="F234" t="s">
        <v>108</v>
      </c>
      <c r="I234" s="2">
        <v>256000</v>
      </c>
      <c r="J234">
        <v>0</v>
      </c>
      <c r="K234" s="2" t="s">
        <v>87</v>
      </c>
      <c r="L234" t="s">
        <v>123</v>
      </c>
      <c r="M234" t="s">
        <v>149</v>
      </c>
    </row>
    <row r="235" spans="1:13" x14ac:dyDescent="0.25">
      <c r="A235" t="s">
        <v>127</v>
      </c>
      <c r="B235" t="s">
        <v>82</v>
      </c>
      <c r="C235" t="s">
        <v>108</v>
      </c>
      <c r="D235" t="s">
        <v>84</v>
      </c>
      <c r="E235" t="s">
        <v>109</v>
      </c>
      <c r="F235" t="s">
        <v>108</v>
      </c>
      <c r="I235" s="2">
        <v>256000</v>
      </c>
      <c r="J235">
        <v>0</v>
      </c>
      <c r="K235" s="2" t="s">
        <v>128</v>
      </c>
      <c r="L235" t="s">
        <v>123</v>
      </c>
      <c r="M235" t="s">
        <v>149</v>
      </c>
    </row>
    <row r="236" spans="1:13" x14ac:dyDescent="0.25">
      <c r="A236" t="s">
        <v>127</v>
      </c>
      <c r="B236" t="s">
        <v>82</v>
      </c>
      <c r="C236" t="s">
        <v>108</v>
      </c>
      <c r="D236" t="s">
        <v>84</v>
      </c>
      <c r="E236" t="s">
        <v>109</v>
      </c>
      <c r="F236" t="s">
        <v>108</v>
      </c>
      <c r="I236" s="2">
        <v>256000</v>
      </c>
      <c r="J236">
        <v>0</v>
      </c>
      <c r="K236" s="2" t="s">
        <v>87</v>
      </c>
      <c r="L236" t="s">
        <v>123</v>
      </c>
      <c r="M236" t="s">
        <v>149</v>
      </c>
    </row>
    <row r="237" spans="1:13" x14ac:dyDescent="0.25">
      <c r="A237" t="s">
        <v>127</v>
      </c>
      <c r="B237" t="s">
        <v>82</v>
      </c>
      <c r="C237" t="s">
        <v>103</v>
      </c>
      <c r="D237" t="s">
        <v>97</v>
      </c>
      <c r="E237" t="s">
        <v>103</v>
      </c>
      <c r="I237" s="2">
        <v>256000</v>
      </c>
      <c r="J237">
        <v>0</v>
      </c>
      <c r="K237" s="2" t="s">
        <v>140</v>
      </c>
      <c r="L237" t="s">
        <v>123</v>
      </c>
      <c r="M237" t="s">
        <v>149</v>
      </c>
    </row>
    <row r="238" spans="1:13" x14ac:dyDescent="0.25">
      <c r="A238" t="s">
        <v>127</v>
      </c>
      <c r="B238" t="s">
        <v>82</v>
      </c>
      <c r="C238" t="s">
        <v>113</v>
      </c>
      <c r="D238" t="s">
        <v>84</v>
      </c>
      <c r="E238" t="s">
        <v>85</v>
      </c>
      <c r="F238" t="s">
        <v>86</v>
      </c>
      <c r="G238" t="s">
        <v>113</v>
      </c>
      <c r="I238">
        <v>0</v>
      </c>
      <c r="J238" s="2">
        <v>5320000</v>
      </c>
      <c r="K238" s="2" t="s">
        <v>87</v>
      </c>
      <c r="L238" t="s">
        <v>123</v>
      </c>
      <c r="M238" t="s">
        <v>149</v>
      </c>
    </row>
    <row r="239" spans="1:13" x14ac:dyDescent="0.25">
      <c r="A239" t="s">
        <v>127</v>
      </c>
      <c r="B239" t="s">
        <v>82</v>
      </c>
      <c r="C239" t="s">
        <v>113</v>
      </c>
      <c r="D239" t="s">
        <v>84</v>
      </c>
      <c r="E239" t="s">
        <v>85</v>
      </c>
      <c r="F239" t="s">
        <v>86</v>
      </c>
      <c r="G239" t="s">
        <v>113</v>
      </c>
      <c r="I239">
        <v>0</v>
      </c>
      <c r="J239" s="2">
        <v>5320000</v>
      </c>
      <c r="K239" s="2" t="s">
        <v>140</v>
      </c>
      <c r="L239" t="s">
        <v>123</v>
      </c>
      <c r="M239" t="s">
        <v>149</v>
      </c>
    </row>
    <row r="240" spans="1:13" x14ac:dyDescent="0.25">
      <c r="A240" t="s">
        <v>127</v>
      </c>
      <c r="B240" t="s">
        <v>82</v>
      </c>
      <c r="C240" t="s">
        <v>113</v>
      </c>
      <c r="D240" t="s">
        <v>84</v>
      </c>
      <c r="E240" t="s">
        <v>85</v>
      </c>
      <c r="F240" t="s">
        <v>86</v>
      </c>
      <c r="G240" t="s">
        <v>113</v>
      </c>
      <c r="I240">
        <v>0</v>
      </c>
      <c r="J240" s="2">
        <v>5320000</v>
      </c>
      <c r="K240" s="2" t="s">
        <v>137</v>
      </c>
      <c r="L240" t="s">
        <v>123</v>
      </c>
      <c r="M240" t="s">
        <v>149</v>
      </c>
    </row>
    <row r="241" spans="1:13" x14ac:dyDescent="0.25">
      <c r="A241" t="s">
        <v>127</v>
      </c>
      <c r="B241" t="s">
        <v>82</v>
      </c>
      <c r="C241" t="s">
        <v>113</v>
      </c>
      <c r="D241" t="s">
        <v>84</v>
      </c>
      <c r="E241" t="s">
        <v>85</v>
      </c>
      <c r="F241" t="s">
        <v>86</v>
      </c>
      <c r="G241" t="s">
        <v>113</v>
      </c>
      <c r="I241">
        <v>0</v>
      </c>
      <c r="J241" s="2">
        <v>5320000</v>
      </c>
      <c r="K241" s="2" t="s">
        <v>128</v>
      </c>
      <c r="L241" t="s">
        <v>123</v>
      </c>
      <c r="M241" t="s">
        <v>149</v>
      </c>
    </row>
    <row r="242" spans="1:13" x14ac:dyDescent="0.25">
      <c r="A242" t="s">
        <v>127</v>
      </c>
      <c r="B242" t="s">
        <v>82</v>
      </c>
      <c r="C242" t="s">
        <v>117</v>
      </c>
      <c r="D242" t="s">
        <v>84</v>
      </c>
      <c r="E242" t="s">
        <v>85</v>
      </c>
      <c r="F242" t="s">
        <v>86</v>
      </c>
      <c r="G242" t="s">
        <v>117</v>
      </c>
      <c r="I242">
        <v>0</v>
      </c>
      <c r="J242" s="2">
        <v>5320000</v>
      </c>
      <c r="K242" s="2" t="s">
        <v>87</v>
      </c>
      <c r="L242" t="s">
        <v>123</v>
      </c>
      <c r="M242" t="s">
        <v>149</v>
      </c>
    </row>
    <row r="243" spans="1:13" x14ac:dyDescent="0.25">
      <c r="A243" t="s">
        <v>127</v>
      </c>
      <c r="B243" t="s">
        <v>82</v>
      </c>
      <c r="C243" t="s">
        <v>114</v>
      </c>
      <c r="D243" t="s">
        <v>84</v>
      </c>
      <c r="E243" t="s">
        <v>85</v>
      </c>
      <c r="F243" t="s">
        <v>86</v>
      </c>
      <c r="G243" t="s">
        <v>114</v>
      </c>
      <c r="I243">
        <v>0</v>
      </c>
      <c r="J243" s="2">
        <v>32000</v>
      </c>
      <c r="K243" s="61" t="s">
        <v>140</v>
      </c>
      <c r="L243" t="s">
        <v>123</v>
      </c>
      <c r="M243" t="s">
        <v>149</v>
      </c>
    </row>
    <row r="244" spans="1:13" x14ac:dyDescent="0.25">
      <c r="A244" t="s">
        <v>127</v>
      </c>
      <c r="B244" t="s">
        <v>82</v>
      </c>
      <c r="C244" t="s">
        <v>83</v>
      </c>
      <c r="D244" t="s">
        <v>84</v>
      </c>
      <c r="E244" t="s">
        <v>85</v>
      </c>
      <c r="F244" t="s">
        <v>86</v>
      </c>
      <c r="G244" t="s">
        <v>83</v>
      </c>
      <c r="I244">
        <v>0</v>
      </c>
      <c r="J244" s="2">
        <v>5320000</v>
      </c>
      <c r="K244" s="2" t="s">
        <v>128</v>
      </c>
      <c r="L244" t="s">
        <v>123</v>
      </c>
      <c r="M244" t="s">
        <v>149</v>
      </c>
    </row>
    <row r="245" spans="1:13" x14ac:dyDescent="0.25">
      <c r="A245" t="s">
        <v>127</v>
      </c>
      <c r="B245" t="s">
        <v>82</v>
      </c>
      <c r="C245" t="s">
        <v>113</v>
      </c>
      <c r="D245" t="s">
        <v>84</v>
      </c>
      <c r="E245" t="s">
        <v>85</v>
      </c>
      <c r="F245" t="s">
        <v>86</v>
      </c>
      <c r="G245" t="s">
        <v>113</v>
      </c>
      <c r="I245">
        <v>0</v>
      </c>
      <c r="J245" s="2">
        <v>5320000</v>
      </c>
      <c r="K245" s="2" t="s">
        <v>87</v>
      </c>
      <c r="L245" t="s">
        <v>123</v>
      </c>
      <c r="M245" t="s">
        <v>149</v>
      </c>
    </row>
    <row r="246" spans="1:13" x14ac:dyDescent="0.25">
      <c r="A246" t="s">
        <v>127</v>
      </c>
      <c r="B246" t="s">
        <v>82</v>
      </c>
      <c r="C246" t="s">
        <v>113</v>
      </c>
      <c r="D246" t="s">
        <v>84</v>
      </c>
      <c r="E246" t="s">
        <v>85</v>
      </c>
      <c r="F246" t="s">
        <v>86</v>
      </c>
      <c r="G246" t="s">
        <v>113</v>
      </c>
      <c r="I246">
        <v>0</v>
      </c>
      <c r="J246" s="2">
        <v>5320000</v>
      </c>
      <c r="K246" s="2" t="s">
        <v>140</v>
      </c>
      <c r="L246" t="s">
        <v>123</v>
      </c>
      <c r="M246" t="s">
        <v>149</v>
      </c>
    </row>
    <row r="247" spans="1:13" x14ac:dyDescent="0.25">
      <c r="A247" t="s">
        <v>127</v>
      </c>
      <c r="B247" t="s">
        <v>82</v>
      </c>
      <c r="C247" t="s">
        <v>113</v>
      </c>
      <c r="D247" t="s">
        <v>84</v>
      </c>
      <c r="E247" t="s">
        <v>85</v>
      </c>
      <c r="F247" t="s">
        <v>86</v>
      </c>
      <c r="G247" t="s">
        <v>113</v>
      </c>
      <c r="I247">
        <v>0</v>
      </c>
      <c r="J247" s="2">
        <v>5320000</v>
      </c>
      <c r="K247" s="2" t="s">
        <v>87</v>
      </c>
      <c r="L247" t="s">
        <v>123</v>
      </c>
      <c r="M247" t="s">
        <v>149</v>
      </c>
    </row>
    <row r="248" spans="1:13" x14ac:dyDescent="0.25">
      <c r="A248" t="s">
        <v>127</v>
      </c>
      <c r="B248" t="s">
        <v>82</v>
      </c>
      <c r="C248" t="s">
        <v>113</v>
      </c>
      <c r="D248" t="s">
        <v>84</v>
      </c>
      <c r="E248" t="s">
        <v>85</v>
      </c>
      <c r="F248" t="s">
        <v>86</v>
      </c>
      <c r="G248" t="s">
        <v>113</v>
      </c>
      <c r="I248">
        <v>0</v>
      </c>
      <c r="J248" s="2">
        <v>5320000</v>
      </c>
      <c r="K248" s="2" t="s">
        <v>140</v>
      </c>
      <c r="L248" t="s">
        <v>123</v>
      </c>
      <c r="M248" t="s">
        <v>149</v>
      </c>
    </row>
    <row r="249" spans="1:13" x14ac:dyDescent="0.25">
      <c r="A249" t="s">
        <v>127</v>
      </c>
      <c r="B249" t="s">
        <v>82</v>
      </c>
      <c r="C249" t="s">
        <v>113</v>
      </c>
      <c r="D249" t="s">
        <v>84</v>
      </c>
      <c r="E249" t="s">
        <v>85</v>
      </c>
      <c r="F249" t="s">
        <v>86</v>
      </c>
      <c r="G249" t="s">
        <v>113</v>
      </c>
      <c r="I249">
        <v>0</v>
      </c>
      <c r="J249" s="2">
        <v>5320000</v>
      </c>
      <c r="K249" s="2" t="s">
        <v>137</v>
      </c>
      <c r="L249" t="s">
        <v>123</v>
      </c>
      <c r="M249" t="s">
        <v>149</v>
      </c>
    </row>
    <row r="250" spans="1:13" x14ac:dyDescent="0.25">
      <c r="A250" t="s">
        <v>127</v>
      </c>
      <c r="B250" t="s">
        <v>82</v>
      </c>
      <c r="C250" t="s">
        <v>113</v>
      </c>
      <c r="D250" t="s">
        <v>84</v>
      </c>
      <c r="E250" t="s">
        <v>85</v>
      </c>
      <c r="F250" t="s">
        <v>86</v>
      </c>
      <c r="G250" t="s">
        <v>113</v>
      </c>
      <c r="I250">
        <v>0</v>
      </c>
      <c r="J250" s="2">
        <v>5320000</v>
      </c>
      <c r="K250" s="2" t="s">
        <v>128</v>
      </c>
      <c r="L250" t="s">
        <v>123</v>
      </c>
      <c r="M250" t="s">
        <v>149</v>
      </c>
    </row>
    <row r="251" spans="1:13" x14ac:dyDescent="0.25">
      <c r="A251" t="s">
        <v>127</v>
      </c>
      <c r="B251" t="s">
        <v>82</v>
      </c>
      <c r="C251" t="s">
        <v>113</v>
      </c>
      <c r="D251" t="s">
        <v>84</v>
      </c>
      <c r="E251" t="s">
        <v>85</v>
      </c>
      <c r="F251" t="s">
        <v>86</v>
      </c>
      <c r="G251" t="s">
        <v>113</v>
      </c>
      <c r="I251">
        <v>0</v>
      </c>
      <c r="J251" s="2">
        <v>5320000</v>
      </c>
      <c r="K251" s="2" t="s">
        <v>87</v>
      </c>
      <c r="L251" t="s">
        <v>123</v>
      </c>
      <c r="M251" t="s">
        <v>149</v>
      </c>
    </row>
    <row r="252" spans="1:13" x14ac:dyDescent="0.25">
      <c r="A252" t="s">
        <v>144</v>
      </c>
      <c r="B252" t="s">
        <v>145</v>
      </c>
      <c r="C252" t="s">
        <v>112</v>
      </c>
      <c r="D252" t="s">
        <v>84</v>
      </c>
      <c r="E252" t="s">
        <v>109</v>
      </c>
      <c r="F252" t="s">
        <v>112</v>
      </c>
      <c r="I252" s="2">
        <v>256000</v>
      </c>
      <c r="J252">
        <v>0</v>
      </c>
      <c r="K252" s="2" t="s">
        <v>147</v>
      </c>
      <c r="L252" t="s">
        <v>123</v>
      </c>
      <c r="M252" t="s">
        <v>149</v>
      </c>
    </row>
    <row r="253" spans="1:13" x14ac:dyDescent="0.25">
      <c r="A253" t="s">
        <v>144</v>
      </c>
      <c r="B253" t="s">
        <v>145</v>
      </c>
      <c r="C253" t="s">
        <v>117</v>
      </c>
      <c r="D253" t="s">
        <v>84</v>
      </c>
      <c r="E253" t="s">
        <v>85</v>
      </c>
      <c r="F253" t="s">
        <v>86</v>
      </c>
      <c r="G253" t="s">
        <v>117</v>
      </c>
      <c r="I253">
        <v>0</v>
      </c>
      <c r="J253" s="2">
        <v>10000</v>
      </c>
      <c r="K253" s="2" t="s">
        <v>146</v>
      </c>
      <c r="L253" t="s">
        <v>123</v>
      </c>
      <c r="M253" t="s">
        <v>149</v>
      </c>
    </row>
    <row r="254" spans="1:13" x14ac:dyDescent="0.25">
      <c r="A254" t="s">
        <v>144</v>
      </c>
      <c r="B254" t="s">
        <v>145</v>
      </c>
      <c r="C254" t="s">
        <v>117</v>
      </c>
      <c r="D254" t="s">
        <v>84</v>
      </c>
      <c r="E254" t="s">
        <v>85</v>
      </c>
      <c r="F254" t="s">
        <v>86</v>
      </c>
      <c r="G254" t="s">
        <v>117</v>
      </c>
      <c r="I254">
        <v>0</v>
      </c>
      <c r="J254" s="2">
        <v>12000</v>
      </c>
      <c r="K254" s="2" t="s">
        <v>148</v>
      </c>
      <c r="L254" t="s">
        <v>123</v>
      </c>
      <c r="M254" t="s">
        <v>149</v>
      </c>
    </row>
    <row r="255" spans="1:13" x14ac:dyDescent="0.25">
      <c r="A255" t="s">
        <v>144</v>
      </c>
      <c r="B255" t="s">
        <v>145</v>
      </c>
      <c r="C255" t="s">
        <v>117</v>
      </c>
      <c r="D255" t="s">
        <v>84</v>
      </c>
      <c r="E255" t="s">
        <v>85</v>
      </c>
      <c r="F255" t="s">
        <v>86</v>
      </c>
      <c r="G255" t="s">
        <v>117</v>
      </c>
      <c r="I255">
        <v>0</v>
      </c>
      <c r="J255" s="2">
        <v>14000</v>
      </c>
      <c r="K255" s="2" t="s">
        <v>147</v>
      </c>
      <c r="L255" t="s">
        <v>123</v>
      </c>
      <c r="M255" t="s">
        <v>149</v>
      </c>
    </row>
    <row r="256" spans="1:13" x14ac:dyDescent="0.25">
      <c r="A256" t="s">
        <v>127</v>
      </c>
      <c r="B256" t="s">
        <v>82</v>
      </c>
      <c r="C256" t="s">
        <v>136</v>
      </c>
      <c r="D256" t="s">
        <v>84</v>
      </c>
      <c r="E256" t="s">
        <v>109</v>
      </c>
      <c r="F256" t="s">
        <v>136</v>
      </c>
      <c r="I256" s="2">
        <v>1000000</v>
      </c>
      <c r="J256">
        <v>0</v>
      </c>
      <c r="K256" s="2" t="s">
        <v>87</v>
      </c>
      <c r="L256" t="s">
        <v>88</v>
      </c>
      <c r="M256" t="s">
        <v>150</v>
      </c>
    </row>
    <row r="257" spans="1:13" x14ac:dyDescent="0.25">
      <c r="A257" t="s">
        <v>127</v>
      </c>
      <c r="B257" t="s">
        <v>82</v>
      </c>
      <c r="C257" t="s">
        <v>108</v>
      </c>
      <c r="D257" t="s">
        <v>84</v>
      </c>
      <c r="E257" t="s">
        <v>109</v>
      </c>
      <c r="F257" t="s">
        <v>108</v>
      </c>
      <c r="I257" s="2">
        <v>128000</v>
      </c>
      <c r="J257">
        <v>0</v>
      </c>
      <c r="K257" s="2" t="s">
        <v>87</v>
      </c>
      <c r="L257" t="s">
        <v>88</v>
      </c>
      <c r="M257" t="s">
        <v>150</v>
      </c>
    </row>
    <row r="258" spans="1:13" x14ac:dyDescent="0.25">
      <c r="A258" t="s">
        <v>127</v>
      </c>
      <c r="B258" t="s">
        <v>82</v>
      </c>
      <c r="C258" t="s">
        <v>108</v>
      </c>
      <c r="D258" t="s">
        <v>84</v>
      </c>
      <c r="E258" t="s">
        <v>109</v>
      </c>
      <c r="F258" t="s">
        <v>108</v>
      </c>
      <c r="I258" s="2">
        <v>128000</v>
      </c>
      <c r="J258">
        <v>0</v>
      </c>
      <c r="K258" s="2" t="s">
        <v>140</v>
      </c>
      <c r="L258" t="s">
        <v>88</v>
      </c>
      <c r="M258" t="s">
        <v>150</v>
      </c>
    </row>
    <row r="259" spans="1:13" x14ac:dyDescent="0.25">
      <c r="A259" t="s">
        <v>127</v>
      </c>
      <c r="B259" t="s">
        <v>82</v>
      </c>
      <c r="C259" t="s">
        <v>103</v>
      </c>
      <c r="D259" t="s">
        <v>97</v>
      </c>
      <c r="E259" t="s">
        <v>103</v>
      </c>
      <c r="I259" s="2">
        <v>128000</v>
      </c>
      <c r="J259">
        <v>0</v>
      </c>
      <c r="K259" s="2" t="s">
        <v>137</v>
      </c>
      <c r="L259" t="s">
        <v>88</v>
      </c>
      <c r="M259" t="s">
        <v>150</v>
      </c>
    </row>
    <row r="260" spans="1:13" x14ac:dyDescent="0.25">
      <c r="A260" t="s">
        <v>127</v>
      </c>
      <c r="B260" t="s">
        <v>82</v>
      </c>
      <c r="C260" t="s">
        <v>108</v>
      </c>
      <c r="D260" t="s">
        <v>84</v>
      </c>
      <c r="E260" t="s">
        <v>109</v>
      </c>
      <c r="F260" t="s">
        <v>108</v>
      </c>
      <c r="I260" s="2">
        <v>128000</v>
      </c>
      <c r="J260">
        <v>0</v>
      </c>
      <c r="K260" s="2" t="s">
        <v>128</v>
      </c>
      <c r="L260" t="s">
        <v>88</v>
      </c>
      <c r="M260" t="s">
        <v>150</v>
      </c>
    </row>
    <row r="261" spans="1:13" x14ac:dyDescent="0.25">
      <c r="A261" t="s">
        <v>127</v>
      </c>
      <c r="B261" t="s">
        <v>82</v>
      </c>
      <c r="C261" t="s">
        <v>108</v>
      </c>
      <c r="D261" t="s">
        <v>84</v>
      </c>
      <c r="E261" t="s">
        <v>109</v>
      </c>
      <c r="F261" t="s">
        <v>108</v>
      </c>
      <c r="I261" s="2">
        <v>128000</v>
      </c>
      <c r="J261">
        <v>0</v>
      </c>
      <c r="K261" s="2" t="s">
        <v>87</v>
      </c>
      <c r="L261" t="s">
        <v>88</v>
      </c>
      <c r="M261" t="s">
        <v>150</v>
      </c>
    </row>
    <row r="262" spans="1:13" x14ac:dyDescent="0.25">
      <c r="A262" t="s">
        <v>127</v>
      </c>
      <c r="B262" t="s">
        <v>82</v>
      </c>
      <c r="C262" t="s">
        <v>108</v>
      </c>
      <c r="D262" t="s">
        <v>84</v>
      </c>
      <c r="E262" t="s">
        <v>109</v>
      </c>
      <c r="F262" t="s">
        <v>108</v>
      </c>
      <c r="I262" s="2">
        <v>128000</v>
      </c>
      <c r="J262">
        <v>0</v>
      </c>
      <c r="K262" s="2" t="s">
        <v>140</v>
      </c>
      <c r="L262" t="s">
        <v>88</v>
      </c>
      <c r="M262" t="s">
        <v>150</v>
      </c>
    </row>
    <row r="263" spans="1:13" x14ac:dyDescent="0.25">
      <c r="A263" t="s">
        <v>127</v>
      </c>
      <c r="B263" t="s">
        <v>82</v>
      </c>
      <c r="C263" t="s">
        <v>108</v>
      </c>
      <c r="D263" t="s">
        <v>84</v>
      </c>
      <c r="E263" t="s">
        <v>109</v>
      </c>
      <c r="F263" t="s">
        <v>108</v>
      </c>
      <c r="I263" s="2">
        <v>128000</v>
      </c>
      <c r="J263">
        <v>0</v>
      </c>
      <c r="K263" s="2" t="s">
        <v>137</v>
      </c>
      <c r="L263" t="s">
        <v>88</v>
      </c>
      <c r="M263" t="s">
        <v>150</v>
      </c>
    </row>
    <row r="264" spans="1:13" x14ac:dyDescent="0.25">
      <c r="A264" t="s">
        <v>127</v>
      </c>
      <c r="B264" t="s">
        <v>82</v>
      </c>
      <c r="C264" t="s">
        <v>108</v>
      </c>
      <c r="D264" t="s">
        <v>84</v>
      </c>
      <c r="E264" t="s">
        <v>109</v>
      </c>
      <c r="F264" t="s">
        <v>108</v>
      </c>
      <c r="I264" s="2">
        <v>128000</v>
      </c>
      <c r="J264">
        <v>0</v>
      </c>
      <c r="K264" s="2" t="s">
        <v>128</v>
      </c>
      <c r="L264" t="s">
        <v>88</v>
      </c>
      <c r="M264" t="s">
        <v>150</v>
      </c>
    </row>
    <row r="265" spans="1:13" x14ac:dyDescent="0.25">
      <c r="A265" t="s">
        <v>127</v>
      </c>
      <c r="B265" t="s">
        <v>82</v>
      </c>
      <c r="C265" t="s">
        <v>108</v>
      </c>
      <c r="D265" t="s">
        <v>84</v>
      </c>
      <c r="E265" t="s">
        <v>109</v>
      </c>
      <c r="F265" t="s">
        <v>108</v>
      </c>
      <c r="I265" s="2">
        <v>128000</v>
      </c>
      <c r="J265">
        <v>0</v>
      </c>
      <c r="K265" s="2" t="s">
        <v>87</v>
      </c>
      <c r="L265" t="s">
        <v>88</v>
      </c>
      <c r="M265" t="s">
        <v>150</v>
      </c>
    </row>
    <row r="266" spans="1:13" x14ac:dyDescent="0.25">
      <c r="A266" t="s">
        <v>127</v>
      </c>
      <c r="B266" t="s">
        <v>82</v>
      </c>
      <c r="C266" t="s">
        <v>108</v>
      </c>
      <c r="D266" t="s">
        <v>84</v>
      </c>
      <c r="E266" t="s">
        <v>109</v>
      </c>
      <c r="F266" t="s">
        <v>108</v>
      </c>
      <c r="I266" s="2">
        <v>128000</v>
      </c>
      <c r="J266">
        <v>0</v>
      </c>
      <c r="K266" s="2" t="s">
        <v>140</v>
      </c>
      <c r="L266" t="s">
        <v>88</v>
      </c>
      <c r="M266" t="s">
        <v>150</v>
      </c>
    </row>
    <row r="267" spans="1:13" x14ac:dyDescent="0.25">
      <c r="A267" t="s">
        <v>127</v>
      </c>
      <c r="B267" t="s">
        <v>82</v>
      </c>
      <c r="C267" t="s">
        <v>108</v>
      </c>
      <c r="D267" t="s">
        <v>84</v>
      </c>
      <c r="E267" t="s">
        <v>109</v>
      </c>
      <c r="F267" t="s">
        <v>108</v>
      </c>
      <c r="I267" s="2">
        <v>128000</v>
      </c>
      <c r="J267">
        <v>0</v>
      </c>
      <c r="K267" s="2" t="s">
        <v>137</v>
      </c>
      <c r="L267" t="s">
        <v>88</v>
      </c>
      <c r="M267" t="s">
        <v>150</v>
      </c>
    </row>
    <row r="268" spans="1:13" x14ac:dyDescent="0.25">
      <c r="A268" t="s">
        <v>127</v>
      </c>
      <c r="B268" t="s">
        <v>82</v>
      </c>
      <c r="C268" t="s">
        <v>108</v>
      </c>
      <c r="D268" t="s">
        <v>84</v>
      </c>
      <c r="E268" t="s">
        <v>109</v>
      </c>
      <c r="F268" t="s">
        <v>108</v>
      </c>
      <c r="I268" s="2">
        <v>128000</v>
      </c>
      <c r="J268">
        <v>0</v>
      </c>
      <c r="K268" s="2" t="s">
        <v>128</v>
      </c>
      <c r="L268" t="s">
        <v>88</v>
      </c>
      <c r="M268" t="s">
        <v>150</v>
      </c>
    </row>
    <row r="269" spans="1:13" x14ac:dyDescent="0.25">
      <c r="A269" t="s">
        <v>127</v>
      </c>
      <c r="B269" t="s">
        <v>82</v>
      </c>
      <c r="C269" t="s">
        <v>112</v>
      </c>
      <c r="D269" t="s">
        <v>84</v>
      </c>
      <c r="E269" t="s">
        <v>109</v>
      </c>
      <c r="F269" t="s">
        <v>112</v>
      </c>
      <c r="I269" s="2">
        <v>116000</v>
      </c>
      <c r="J269">
        <v>0</v>
      </c>
      <c r="K269" s="2" t="s">
        <v>87</v>
      </c>
      <c r="L269" t="s">
        <v>88</v>
      </c>
      <c r="M269" t="s">
        <v>150</v>
      </c>
    </row>
    <row r="270" spans="1:13" x14ac:dyDescent="0.25">
      <c r="A270" t="s">
        <v>127</v>
      </c>
      <c r="B270" t="s">
        <v>82</v>
      </c>
      <c r="C270" t="s">
        <v>112</v>
      </c>
      <c r="D270" t="s">
        <v>84</v>
      </c>
      <c r="E270" t="s">
        <v>109</v>
      </c>
      <c r="F270" t="s">
        <v>112</v>
      </c>
      <c r="I270" s="2">
        <v>128000</v>
      </c>
      <c r="J270">
        <v>0</v>
      </c>
      <c r="K270" s="2" t="s">
        <v>140</v>
      </c>
      <c r="L270" t="s">
        <v>88</v>
      </c>
      <c r="M270" t="s">
        <v>150</v>
      </c>
    </row>
    <row r="271" spans="1:13" x14ac:dyDescent="0.25">
      <c r="A271" t="s">
        <v>127</v>
      </c>
      <c r="B271" t="s">
        <v>82</v>
      </c>
      <c r="C271" t="s">
        <v>112</v>
      </c>
      <c r="D271" t="s">
        <v>84</v>
      </c>
      <c r="E271" t="s">
        <v>109</v>
      </c>
      <c r="F271" t="s">
        <v>112</v>
      </c>
      <c r="I271" s="2">
        <v>136000</v>
      </c>
      <c r="J271">
        <v>0</v>
      </c>
      <c r="K271" s="2" t="s">
        <v>137</v>
      </c>
      <c r="L271" t="s">
        <v>88</v>
      </c>
      <c r="M271" t="s">
        <v>150</v>
      </c>
    </row>
    <row r="272" spans="1:13" x14ac:dyDescent="0.25">
      <c r="A272" t="s">
        <v>127</v>
      </c>
      <c r="B272" t="s">
        <v>82</v>
      </c>
      <c r="C272" t="s">
        <v>112</v>
      </c>
      <c r="D272" t="s">
        <v>84</v>
      </c>
      <c r="E272" t="s">
        <v>109</v>
      </c>
      <c r="F272" t="s">
        <v>112</v>
      </c>
      <c r="I272" s="2">
        <v>100000</v>
      </c>
      <c r="J272">
        <v>0</v>
      </c>
      <c r="K272" s="2" t="s">
        <v>87</v>
      </c>
      <c r="L272" t="s">
        <v>88</v>
      </c>
      <c r="M272" t="s">
        <v>150</v>
      </c>
    </row>
    <row r="273" spans="1:13" x14ac:dyDescent="0.25">
      <c r="A273" t="s">
        <v>127</v>
      </c>
      <c r="B273" t="s">
        <v>82</v>
      </c>
      <c r="C273" t="s">
        <v>108</v>
      </c>
      <c r="D273" t="s">
        <v>84</v>
      </c>
      <c r="E273" t="s">
        <v>109</v>
      </c>
      <c r="F273" t="s">
        <v>108</v>
      </c>
      <c r="I273" s="2">
        <v>128000</v>
      </c>
      <c r="J273">
        <v>0</v>
      </c>
      <c r="K273" s="2" t="s">
        <v>87</v>
      </c>
      <c r="L273" t="s">
        <v>88</v>
      </c>
      <c r="M273" t="s">
        <v>150</v>
      </c>
    </row>
    <row r="274" spans="1:13" x14ac:dyDescent="0.25">
      <c r="A274" t="s">
        <v>127</v>
      </c>
      <c r="B274" t="s">
        <v>82</v>
      </c>
      <c r="C274" t="s">
        <v>108</v>
      </c>
      <c r="D274" t="s">
        <v>84</v>
      </c>
      <c r="E274" t="s">
        <v>109</v>
      </c>
      <c r="F274" t="s">
        <v>108</v>
      </c>
      <c r="I274" s="2">
        <v>128000</v>
      </c>
      <c r="J274">
        <v>0</v>
      </c>
      <c r="K274" s="2" t="s">
        <v>140</v>
      </c>
      <c r="L274" t="s">
        <v>88</v>
      </c>
      <c r="M274" t="s">
        <v>150</v>
      </c>
    </row>
    <row r="275" spans="1:13" x14ac:dyDescent="0.25">
      <c r="A275" t="s">
        <v>127</v>
      </c>
      <c r="B275" t="s">
        <v>82</v>
      </c>
      <c r="C275" t="s">
        <v>108</v>
      </c>
      <c r="D275" t="s">
        <v>84</v>
      </c>
      <c r="E275" t="s">
        <v>109</v>
      </c>
      <c r="F275" t="s">
        <v>108</v>
      </c>
      <c r="I275" s="2">
        <v>128000</v>
      </c>
      <c r="J275">
        <v>0</v>
      </c>
      <c r="K275" s="2" t="s">
        <v>137</v>
      </c>
      <c r="L275" t="s">
        <v>88</v>
      </c>
      <c r="M275" t="s">
        <v>150</v>
      </c>
    </row>
    <row r="276" spans="1:13" x14ac:dyDescent="0.25">
      <c r="A276" t="s">
        <v>127</v>
      </c>
      <c r="B276" t="s">
        <v>82</v>
      </c>
      <c r="C276" t="s">
        <v>103</v>
      </c>
      <c r="D276" t="s">
        <v>97</v>
      </c>
      <c r="E276" t="s">
        <v>103</v>
      </c>
      <c r="I276" s="2">
        <v>128000</v>
      </c>
      <c r="J276">
        <v>0</v>
      </c>
      <c r="K276" s="2" t="s">
        <v>128</v>
      </c>
      <c r="L276" t="s">
        <v>88</v>
      </c>
      <c r="M276" t="s">
        <v>150</v>
      </c>
    </row>
    <row r="277" spans="1:13" x14ac:dyDescent="0.25">
      <c r="A277" t="s">
        <v>127</v>
      </c>
      <c r="B277" t="s">
        <v>82</v>
      </c>
      <c r="C277" t="s">
        <v>108</v>
      </c>
      <c r="D277" t="s">
        <v>84</v>
      </c>
      <c r="E277" t="s">
        <v>109</v>
      </c>
      <c r="F277" t="s">
        <v>108</v>
      </c>
      <c r="I277" s="2">
        <v>128000</v>
      </c>
      <c r="J277">
        <v>0</v>
      </c>
      <c r="K277" s="2" t="s">
        <v>87</v>
      </c>
      <c r="L277" t="s">
        <v>88</v>
      </c>
      <c r="M277" t="s">
        <v>150</v>
      </c>
    </row>
    <row r="278" spans="1:13" x14ac:dyDescent="0.25">
      <c r="A278" t="s">
        <v>127</v>
      </c>
      <c r="B278" t="s">
        <v>82</v>
      </c>
      <c r="C278" t="s">
        <v>108</v>
      </c>
      <c r="D278" t="s">
        <v>84</v>
      </c>
      <c r="E278" t="s">
        <v>109</v>
      </c>
      <c r="F278" t="s">
        <v>108</v>
      </c>
      <c r="I278" s="2">
        <v>128000</v>
      </c>
      <c r="J278">
        <v>0</v>
      </c>
      <c r="K278" s="2" t="s">
        <v>128</v>
      </c>
      <c r="L278" t="s">
        <v>88</v>
      </c>
      <c r="M278" t="s">
        <v>150</v>
      </c>
    </row>
    <row r="279" spans="1:13" x14ac:dyDescent="0.25">
      <c r="A279" t="s">
        <v>127</v>
      </c>
      <c r="B279" t="s">
        <v>82</v>
      </c>
      <c r="C279" t="s">
        <v>108</v>
      </c>
      <c r="D279" t="s">
        <v>84</v>
      </c>
      <c r="E279" t="s">
        <v>109</v>
      </c>
      <c r="F279" t="s">
        <v>108</v>
      </c>
      <c r="I279" s="2">
        <v>128000</v>
      </c>
      <c r="J279">
        <v>0</v>
      </c>
      <c r="K279" s="2" t="s">
        <v>87</v>
      </c>
      <c r="L279" t="s">
        <v>88</v>
      </c>
      <c r="M279" t="s">
        <v>150</v>
      </c>
    </row>
    <row r="280" spans="1:13" x14ac:dyDescent="0.25">
      <c r="A280" t="s">
        <v>127</v>
      </c>
      <c r="B280" t="s">
        <v>82</v>
      </c>
      <c r="C280" t="s">
        <v>103</v>
      </c>
      <c r="D280" t="s">
        <v>97</v>
      </c>
      <c r="E280" t="s">
        <v>103</v>
      </c>
      <c r="I280" s="2">
        <v>128000</v>
      </c>
      <c r="J280">
        <v>0</v>
      </c>
      <c r="K280" s="2" t="s">
        <v>140</v>
      </c>
      <c r="L280" t="s">
        <v>88</v>
      </c>
      <c r="M280" t="s">
        <v>150</v>
      </c>
    </row>
    <row r="281" spans="1:13" x14ac:dyDescent="0.25">
      <c r="A281" t="s">
        <v>127</v>
      </c>
      <c r="B281" t="s">
        <v>82</v>
      </c>
      <c r="C281" t="s">
        <v>113</v>
      </c>
      <c r="D281" t="s">
        <v>84</v>
      </c>
      <c r="E281" t="s">
        <v>85</v>
      </c>
      <c r="F281" t="s">
        <v>86</v>
      </c>
      <c r="G281" t="s">
        <v>113</v>
      </c>
      <c r="I281">
        <v>0</v>
      </c>
      <c r="J281" s="2">
        <v>160000</v>
      </c>
      <c r="K281" s="2" t="s">
        <v>87</v>
      </c>
      <c r="L281" t="s">
        <v>88</v>
      </c>
      <c r="M281" t="s">
        <v>150</v>
      </c>
    </row>
    <row r="282" spans="1:13" x14ac:dyDescent="0.25">
      <c r="A282" t="s">
        <v>127</v>
      </c>
      <c r="B282" t="s">
        <v>82</v>
      </c>
      <c r="C282" t="s">
        <v>113</v>
      </c>
      <c r="D282" t="s">
        <v>84</v>
      </c>
      <c r="E282" t="s">
        <v>85</v>
      </c>
      <c r="F282" t="s">
        <v>86</v>
      </c>
      <c r="G282" t="s">
        <v>113</v>
      </c>
      <c r="I282">
        <v>0</v>
      </c>
      <c r="J282" s="2">
        <v>160000</v>
      </c>
      <c r="K282" s="2" t="s">
        <v>140</v>
      </c>
      <c r="L282" t="s">
        <v>88</v>
      </c>
      <c r="M282" t="s">
        <v>150</v>
      </c>
    </row>
    <row r="283" spans="1:13" x14ac:dyDescent="0.25">
      <c r="A283" t="s">
        <v>127</v>
      </c>
      <c r="B283" t="s">
        <v>82</v>
      </c>
      <c r="C283" t="s">
        <v>113</v>
      </c>
      <c r="D283" t="s">
        <v>84</v>
      </c>
      <c r="E283" t="s">
        <v>85</v>
      </c>
      <c r="F283" t="s">
        <v>86</v>
      </c>
      <c r="G283" t="s">
        <v>113</v>
      </c>
      <c r="I283">
        <v>0</v>
      </c>
      <c r="J283" s="2">
        <v>160000</v>
      </c>
      <c r="K283" s="2" t="s">
        <v>137</v>
      </c>
      <c r="L283" t="s">
        <v>88</v>
      </c>
      <c r="M283" t="s">
        <v>150</v>
      </c>
    </row>
    <row r="284" spans="1:13" x14ac:dyDescent="0.25">
      <c r="A284" t="s">
        <v>127</v>
      </c>
      <c r="B284" t="s">
        <v>82</v>
      </c>
      <c r="C284" t="s">
        <v>113</v>
      </c>
      <c r="D284" t="s">
        <v>84</v>
      </c>
      <c r="E284" t="s">
        <v>85</v>
      </c>
      <c r="F284" t="s">
        <v>86</v>
      </c>
      <c r="G284" t="s">
        <v>113</v>
      </c>
      <c r="I284">
        <v>0</v>
      </c>
      <c r="J284" s="2">
        <v>160000</v>
      </c>
      <c r="K284" s="2" t="s">
        <v>128</v>
      </c>
      <c r="L284" t="s">
        <v>88</v>
      </c>
      <c r="M284" t="s">
        <v>150</v>
      </c>
    </row>
    <row r="285" spans="1:13" x14ac:dyDescent="0.25">
      <c r="A285" t="s">
        <v>127</v>
      </c>
      <c r="B285" t="s">
        <v>82</v>
      </c>
      <c r="C285" t="s">
        <v>117</v>
      </c>
      <c r="D285" t="s">
        <v>84</v>
      </c>
      <c r="E285" t="s">
        <v>85</v>
      </c>
      <c r="F285" t="s">
        <v>86</v>
      </c>
      <c r="G285" t="s">
        <v>117</v>
      </c>
      <c r="I285">
        <v>0</v>
      </c>
      <c r="J285" s="2">
        <v>160000</v>
      </c>
      <c r="K285" s="2" t="s">
        <v>87</v>
      </c>
      <c r="L285" t="s">
        <v>88</v>
      </c>
      <c r="M285" t="s">
        <v>150</v>
      </c>
    </row>
    <row r="286" spans="1:13" x14ac:dyDescent="0.25">
      <c r="A286" t="s">
        <v>127</v>
      </c>
      <c r="B286" t="s">
        <v>82</v>
      </c>
      <c r="C286" t="s">
        <v>83</v>
      </c>
      <c r="D286" t="s">
        <v>84</v>
      </c>
      <c r="E286" t="s">
        <v>85</v>
      </c>
      <c r="F286" t="s">
        <v>86</v>
      </c>
      <c r="G286" t="s">
        <v>83</v>
      </c>
      <c r="I286">
        <v>0</v>
      </c>
      <c r="J286" s="2">
        <v>160000</v>
      </c>
      <c r="K286" s="2" t="s">
        <v>128</v>
      </c>
      <c r="L286" t="s">
        <v>88</v>
      </c>
      <c r="M286" t="s">
        <v>150</v>
      </c>
    </row>
    <row r="287" spans="1:13" x14ac:dyDescent="0.25">
      <c r="A287" t="s">
        <v>127</v>
      </c>
      <c r="B287" t="s">
        <v>82</v>
      </c>
      <c r="C287" t="s">
        <v>113</v>
      </c>
      <c r="D287" t="s">
        <v>84</v>
      </c>
      <c r="E287" t="s">
        <v>85</v>
      </c>
      <c r="F287" t="s">
        <v>86</v>
      </c>
      <c r="G287" t="s">
        <v>113</v>
      </c>
      <c r="I287">
        <v>0</v>
      </c>
      <c r="J287" s="2">
        <v>160000</v>
      </c>
      <c r="K287" s="2" t="s">
        <v>87</v>
      </c>
      <c r="L287" t="s">
        <v>88</v>
      </c>
      <c r="M287" t="s">
        <v>150</v>
      </c>
    </row>
    <row r="288" spans="1:13" x14ac:dyDescent="0.25">
      <c r="A288" t="s">
        <v>127</v>
      </c>
      <c r="B288" t="s">
        <v>82</v>
      </c>
      <c r="C288" t="s">
        <v>113</v>
      </c>
      <c r="D288" t="s">
        <v>84</v>
      </c>
      <c r="E288" t="s">
        <v>85</v>
      </c>
      <c r="F288" t="s">
        <v>86</v>
      </c>
      <c r="G288" t="s">
        <v>113</v>
      </c>
      <c r="I288">
        <v>0</v>
      </c>
      <c r="J288" s="2">
        <v>160000</v>
      </c>
      <c r="K288" s="2" t="s">
        <v>140</v>
      </c>
      <c r="L288" t="s">
        <v>88</v>
      </c>
      <c r="M288" t="s">
        <v>150</v>
      </c>
    </row>
    <row r="289" spans="1:13" x14ac:dyDescent="0.25">
      <c r="A289" t="s">
        <v>127</v>
      </c>
      <c r="B289" t="s">
        <v>82</v>
      </c>
      <c r="C289" t="s">
        <v>113</v>
      </c>
      <c r="D289" t="s">
        <v>84</v>
      </c>
      <c r="E289" t="s">
        <v>85</v>
      </c>
      <c r="F289" t="s">
        <v>86</v>
      </c>
      <c r="G289" t="s">
        <v>113</v>
      </c>
      <c r="I289">
        <v>0</v>
      </c>
      <c r="J289" s="2">
        <v>160000</v>
      </c>
      <c r="K289" s="2" t="s">
        <v>87</v>
      </c>
      <c r="L289" t="s">
        <v>88</v>
      </c>
      <c r="M289" t="s">
        <v>150</v>
      </c>
    </row>
    <row r="290" spans="1:13" x14ac:dyDescent="0.25">
      <c r="A290" t="s">
        <v>127</v>
      </c>
      <c r="B290" t="s">
        <v>82</v>
      </c>
      <c r="C290" t="s">
        <v>113</v>
      </c>
      <c r="D290" t="s">
        <v>84</v>
      </c>
      <c r="E290" t="s">
        <v>85</v>
      </c>
      <c r="F290" t="s">
        <v>86</v>
      </c>
      <c r="G290" t="s">
        <v>113</v>
      </c>
      <c r="I290">
        <v>0</v>
      </c>
      <c r="J290" s="2">
        <v>160000</v>
      </c>
      <c r="K290" s="2" t="s">
        <v>140</v>
      </c>
      <c r="L290" t="s">
        <v>88</v>
      </c>
      <c r="M290" t="s">
        <v>150</v>
      </c>
    </row>
    <row r="291" spans="1:13" x14ac:dyDescent="0.25">
      <c r="A291" t="s">
        <v>127</v>
      </c>
      <c r="B291" t="s">
        <v>82</v>
      </c>
      <c r="C291" t="s">
        <v>113</v>
      </c>
      <c r="D291" t="s">
        <v>84</v>
      </c>
      <c r="E291" t="s">
        <v>85</v>
      </c>
      <c r="F291" t="s">
        <v>86</v>
      </c>
      <c r="G291" t="s">
        <v>113</v>
      </c>
      <c r="I291">
        <v>0</v>
      </c>
      <c r="J291" s="2">
        <v>160000</v>
      </c>
      <c r="K291" s="2" t="s">
        <v>137</v>
      </c>
      <c r="L291" t="s">
        <v>88</v>
      </c>
      <c r="M291" t="s">
        <v>150</v>
      </c>
    </row>
    <row r="292" spans="1:13" x14ac:dyDescent="0.25">
      <c r="A292" t="s">
        <v>127</v>
      </c>
      <c r="B292" t="s">
        <v>82</v>
      </c>
      <c r="C292" t="s">
        <v>113</v>
      </c>
      <c r="D292" t="s">
        <v>84</v>
      </c>
      <c r="E292" t="s">
        <v>85</v>
      </c>
      <c r="F292" t="s">
        <v>86</v>
      </c>
      <c r="G292" t="s">
        <v>113</v>
      </c>
      <c r="I292">
        <v>0</v>
      </c>
      <c r="J292" s="2">
        <v>160000</v>
      </c>
      <c r="K292" s="2" t="s">
        <v>128</v>
      </c>
      <c r="L292" t="s">
        <v>88</v>
      </c>
      <c r="M292" t="s">
        <v>150</v>
      </c>
    </row>
    <row r="293" spans="1:13" x14ac:dyDescent="0.25">
      <c r="A293" t="s">
        <v>127</v>
      </c>
      <c r="B293" t="s">
        <v>82</v>
      </c>
      <c r="C293" t="s">
        <v>113</v>
      </c>
      <c r="D293" t="s">
        <v>84</v>
      </c>
      <c r="E293" t="s">
        <v>85</v>
      </c>
      <c r="F293" t="s">
        <v>86</v>
      </c>
      <c r="G293" t="s">
        <v>113</v>
      </c>
      <c r="I293">
        <v>0</v>
      </c>
      <c r="J293" s="2">
        <v>160000</v>
      </c>
      <c r="K293" s="2" t="s">
        <v>87</v>
      </c>
      <c r="L293" t="s">
        <v>88</v>
      </c>
      <c r="M293" t="s">
        <v>150</v>
      </c>
    </row>
    <row r="294" spans="1:13" x14ac:dyDescent="0.25">
      <c r="A294" t="s">
        <v>144</v>
      </c>
      <c r="B294" t="s">
        <v>145</v>
      </c>
      <c r="C294" t="s">
        <v>136</v>
      </c>
      <c r="D294" t="s">
        <v>84</v>
      </c>
      <c r="E294" t="s">
        <v>109</v>
      </c>
      <c r="F294" t="s">
        <v>136</v>
      </c>
      <c r="I294" s="2">
        <v>14000</v>
      </c>
      <c r="J294">
        <v>0</v>
      </c>
      <c r="K294" s="2" t="s">
        <v>147</v>
      </c>
      <c r="L294" t="s">
        <v>88</v>
      </c>
      <c r="M294" t="s">
        <v>150</v>
      </c>
    </row>
    <row r="295" spans="1:13" x14ac:dyDescent="0.25">
      <c r="A295" t="s">
        <v>127</v>
      </c>
      <c r="B295" t="s">
        <v>82</v>
      </c>
      <c r="C295" t="s">
        <v>108</v>
      </c>
      <c r="D295" t="s">
        <v>84</v>
      </c>
      <c r="E295" t="s">
        <v>109</v>
      </c>
      <c r="F295" t="s">
        <v>108</v>
      </c>
      <c r="I295" s="2">
        <v>128000</v>
      </c>
      <c r="J295">
        <v>0</v>
      </c>
      <c r="K295" s="2" t="s">
        <v>87</v>
      </c>
      <c r="L295" t="s">
        <v>123</v>
      </c>
      <c r="M295" t="s">
        <v>151</v>
      </c>
    </row>
    <row r="296" spans="1:13" x14ac:dyDescent="0.25">
      <c r="A296" t="s">
        <v>127</v>
      </c>
      <c r="B296" t="s">
        <v>82</v>
      </c>
      <c r="C296" t="s">
        <v>108</v>
      </c>
      <c r="D296" t="s">
        <v>84</v>
      </c>
      <c r="E296" t="s">
        <v>109</v>
      </c>
      <c r="F296" t="s">
        <v>108</v>
      </c>
      <c r="I296" s="2">
        <v>128000</v>
      </c>
      <c r="J296">
        <v>0</v>
      </c>
      <c r="K296" s="2" t="s">
        <v>140</v>
      </c>
      <c r="L296" t="s">
        <v>123</v>
      </c>
      <c r="M296" t="s">
        <v>151</v>
      </c>
    </row>
    <row r="297" spans="1:13" x14ac:dyDescent="0.25">
      <c r="A297" t="s">
        <v>127</v>
      </c>
      <c r="B297" t="s">
        <v>82</v>
      </c>
      <c r="C297" t="s">
        <v>103</v>
      </c>
      <c r="D297" t="s">
        <v>97</v>
      </c>
      <c r="E297" t="s">
        <v>103</v>
      </c>
      <c r="I297" s="2">
        <v>128000</v>
      </c>
      <c r="J297">
        <v>0</v>
      </c>
      <c r="K297" s="2" t="s">
        <v>137</v>
      </c>
      <c r="L297" t="s">
        <v>123</v>
      </c>
      <c r="M297" t="s">
        <v>151</v>
      </c>
    </row>
    <row r="298" spans="1:13" x14ac:dyDescent="0.25">
      <c r="A298" t="s">
        <v>127</v>
      </c>
      <c r="B298" t="s">
        <v>82</v>
      </c>
      <c r="C298" t="s">
        <v>108</v>
      </c>
      <c r="D298" t="s">
        <v>84</v>
      </c>
      <c r="E298" t="s">
        <v>109</v>
      </c>
      <c r="F298" t="s">
        <v>108</v>
      </c>
      <c r="I298" s="2">
        <v>128000</v>
      </c>
      <c r="J298">
        <v>0</v>
      </c>
      <c r="K298" s="2" t="s">
        <v>128</v>
      </c>
      <c r="L298" t="s">
        <v>123</v>
      </c>
      <c r="M298" t="s">
        <v>151</v>
      </c>
    </row>
    <row r="299" spans="1:13" x14ac:dyDescent="0.25">
      <c r="A299" t="s">
        <v>127</v>
      </c>
      <c r="B299" t="s">
        <v>82</v>
      </c>
      <c r="C299" t="s">
        <v>108</v>
      </c>
      <c r="D299" t="s">
        <v>84</v>
      </c>
      <c r="E299" t="s">
        <v>109</v>
      </c>
      <c r="F299" t="s">
        <v>108</v>
      </c>
      <c r="I299" s="2">
        <v>128000</v>
      </c>
      <c r="J299">
        <v>0</v>
      </c>
      <c r="K299" s="2" t="s">
        <v>87</v>
      </c>
      <c r="L299" t="s">
        <v>123</v>
      </c>
      <c r="M299" t="s">
        <v>151</v>
      </c>
    </row>
    <row r="300" spans="1:13" x14ac:dyDescent="0.25">
      <c r="A300" t="s">
        <v>127</v>
      </c>
      <c r="B300" t="s">
        <v>82</v>
      </c>
      <c r="C300" t="s">
        <v>108</v>
      </c>
      <c r="D300" t="s">
        <v>84</v>
      </c>
      <c r="E300" t="s">
        <v>109</v>
      </c>
      <c r="F300" t="s">
        <v>108</v>
      </c>
      <c r="I300" s="2">
        <v>128000</v>
      </c>
      <c r="J300">
        <v>0</v>
      </c>
      <c r="K300" s="2" t="s">
        <v>140</v>
      </c>
      <c r="L300" t="s">
        <v>123</v>
      </c>
      <c r="M300" t="s">
        <v>151</v>
      </c>
    </row>
    <row r="301" spans="1:13" x14ac:dyDescent="0.25">
      <c r="A301" t="s">
        <v>127</v>
      </c>
      <c r="B301" t="s">
        <v>82</v>
      </c>
      <c r="C301" t="s">
        <v>108</v>
      </c>
      <c r="D301" t="s">
        <v>84</v>
      </c>
      <c r="E301" t="s">
        <v>109</v>
      </c>
      <c r="F301" t="s">
        <v>108</v>
      </c>
      <c r="I301" s="2">
        <v>128000</v>
      </c>
      <c r="J301">
        <v>0</v>
      </c>
      <c r="K301" s="2" t="s">
        <v>137</v>
      </c>
      <c r="L301" t="s">
        <v>123</v>
      </c>
      <c r="M301" t="s">
        <v>151</v>
      </c>
    </row>
    <row r="302" spans="1:13" x14ac:dyDescent="0.25">
      <c r="A302" t="s">
        <v>127</v>
      </c>
      <c r="B302" t="s">
        <v>82</v>
      </c>
      <c r="C302" t="s">
        <v>108</v>
      </c>
      <c r="D302" t="s">
        <v>84</v>
      </c>
      <c r="E302" t="s">
        <v>109</v>
      </c>
      <c r="F302" t="s">
        <v>108</v>
      </c>
      <c r="I302" s="2">
        <v>128000</v>
      </c>
      <c r="J302">
        <v>0</v>
      </c>
      <c r="K302" s="2" t="s">
        <v>128</v>
      </c>
      <c r="L302" t="s">
        <v>123</v>
      </c>
      <c r="M302" t="s">
        <v>151</v>
      </c>
    </row>
    <row r="303" spans="1:13" x14ac:dyDescent="0.25">
      <c r="A303" t="s">
        <v>127</v>
      </c>
      <c r="B303" t="s">
        <v>82</v>
      </c>
      <c r="C303" t="s">
        <v>108</v>
      </c>
      <c r="D303" t="s">
        <v>84</v>
      </c>
      <c r="E303" t="s">
        <v>109</v>
      </c>
      <c r="F303" t="s">
        <v>108</v>
      </c>
      <c r="I303" s="2">
        <v>128000</v>
      </c>
      <c r="J303">
        <v>0</v>
      </c>
      <c r="K303" s="2" t="s">
        <v>87</v>
      </c>
      <c r="L303" t="s">
        <v>123</v>
      </c>
      <c r="M303" t="s">
        <v>151</v>
      </c>
    </row>
    <row r="304" spans="1:13" x14ac:dyDescent="0.25">
      <c r="A304" t="s">
        <v>127</v>
      </c>
      <c r="B304" t="s">
        <v>82</v>
      </c>
      <c r="C304" t="s">
        <v>108</v>
      </c>
      <c r="D304" t="s">
        <v>84</v>
      </c>
      <c r="E304" t="s">
        <v>109</v>
      </c>
      <c r="F304" t="s">
        <v>108</v>
      </c>
      <c r="I304" s="2">
        <v>128000</v>
      </c>
      <c r="J304">
        <v>0</v>
      </c>
      <c r="K304" s="2" t="s">
        <v>140</v>
      </c>
      <c r="L304" t="s">
        <v>123</v>
      </c>
      <c r="M304" t="s">
        <v>151</v>
      </c>
    </row>
    <row r="305" spans="1:13" x14ac:dyDescent="0.25">
      <c r="A305" t="s">
        <v>127</v>
      </c>
      <c r="B305" t="s">
        <v>82</v>
      </c>
      <c r="C305" t="s">
        <v>108</v>
      </c>
      <c r="D305" t="s">
        <v>84</v>
      </c>
      <c r="E305" t="s">
        <v>109</v>
      </c>
      <c r="F305" t="s">
        <v>108</v>
      </c>
      <c r="I305" s="2">
        <v>128000</v>
      </c>
      <c r="J305">
        <v>0</v>
      </c>
      <c r="K305" s="2" t="s">
        <v>137</v>
      </c>
      <c r="L305" t="s">
        <v>123</v>
      </c>
      <c r="M305" t="s">
        <v>151</v>
      </c>
    </row>
    <row r="306" spans="1:13" x14ac:dyDescent="0.25">
      <c r="A306" t="s">
        <v>127</v>
      </c>
      <c r="B306" t="s">
        <v>82</v>
      </c>
      <c r="C306" t="s">
        <v>108</v>
      </c>
      <c r="D306" t="s">
        <v>84</v>
      </c>
      <c r="E306" t="s">
        <v>109</v>
      </c>
      <c r="F306" t="s">
        <v>108</v>
      </c>
      <c r="I306" s="2">
        <v>128000</v>
      </c>
      <c r="J306">
        <v>0</v>
      </c>
      <c r="K306" s="2" t="s">
        <v>128</v>
      </c>
      <c r="L306" t="s">
        <v>123</v>
      </c>
      <c r="M306" t="s">
        <v>151</v>
      </c>
    </row>
    <row r="307" spans="1:13" x14ac:dyDescent="0.25">
      <c r="A307" t="s">
        <v>127</v>
      </c>
      <c r="B307" t="s">
        <v>82</v>
      </c>
      <c r="C307" t="s">
        <v>112</v>
      </c>
      <c r="D307" t="s">
        <v>84</v>
      </c>
      <c r="E307" t="s">
        <v>109</v>
      </c>
      <c r="F307" t="s">
        <v>112</v>
      </c>
      <c r="I307" s="2">
        <v>45000</v>
      </c>
      <c r="J307">
        <v>0</v>
      </c>
      <c r="K307" s="2" t="s">
        <v>87</v>
      </c>
      <c r="L307" t="s">
        <v>123</v>
      </c>
      <c r="M307" t="s">
        <v>151</v>
      </c>
    </row>
    <row r="308" spans="1:13" x14ac:dyDescent="0.25">
      <c r="A308" t="s">
        <v>127</v>
      </c>
      <c r="B308" t="s">
        <v>82</v>
      </c>
      <c r="C308" t="s">
        <v>112</v>
      </c>
      <c r="D308" t="s">
        <v>84</v>
      </c>
      <c r="E308" t="s">
        <v>109</v>
      </c>
      <c r="F308" t="s">
        <v>112</v>
      </c>
      <c r="I308" s="2">
        <v>74000</v>
      </c>
      <c r="J308">
        <v>0</v>
      </c>
      <c r="K308" s="2" t="s">
        <v>140</v>
      </c>
      <c r="L308" t="s">
        <v>123</v>
      </c>
      <c r="M308" t="s">
        <v>151</v>
      </c>
    </row>
    <row r="309" spans="1:13" x14ac:dyDescent="0.25">
      <c r="A309" t="s">
        <v>127</v>
      </c>
      <c r="B309" t="s">
        <v>82</v>
      </c>
      <c r="C309" t="s">
        <v>112</v>
      </c>
      <c r="D309" t="s">
        <v>84</v>
      </c>
      <c r="E309" t="s">
        <v>109</v>
      </c>
      <c r="F309" t="s">
        <v>112</v>
      </c>
      <c r="I309" s="2">
        <v>128000</v>
      </c>
      <c r="J309">
        <v>0</v>
      </c>
      <c r="K309" s="2" t="s">
        <v>137</v>
      </c>
      <c r="L309" t="s">
        <v>123</v>
      </c>
      <c r="M309" t="s">
        <v>151</v>
      </c>
    </row>
    <row r="310" spans="1:13" x14ac:dyDescent="0.25">
      <c r="A310" t="s">
        <v>127</v>
      </c>
      <c r="B310" t="s">
        <v>82</v>
      </c>
      <c r="C310" t="s">
        <v>112</v>
      </c>
      <c r="D310" t="s">
        <v>84</v>
      </c>
      <c r="E310" t="s">
        <v>109</v>
      </c>
      <c r="F310" t="s">
        <v>112</v>
      </c>
      <c r="I310" s="2">
        <v>128000</v>
      </c>
      <c r="J310">
        <v>0</v>
      </c>
      <c r="K310" s="2" t="s">
        <v>87</v>
      </c>
      <c r="L310" t="s">
        <v>123</v>
      </c>
      <c r="M310" t="s">
        <v>151</v>
      </c>
    </row>
    <row r="311" spans="1:13" x14ac:dyDescent="0.25">
      <c r="A311" t="s">
        <v>127</v>
      </c>
      <c r="B311" t="s">
        <v>82</v>
      </c>
      <c r="C311" t="s">
        <v>108</v>
      </c>
      <c r="D311" t="s">
        <v>84</v>
      </c>
      <c r="E311" t="s">
        <v>109</v>
      </c>
      <c r="F311" t="s">
        <v>108</v>
      </c>
      <c r="I311" s="2">
        <v>128000</v>
      </c>
      <c r="J311">
        <v>0</v>
      </c>
      <c r="K311" s="2" t="s">
        <v>87</v>
      </c>
      <c r="L311" t="s">
        <v>123</v>
      </c>
      <c r="M311" t="s">
        <v>151</v>
      </c>
    </row>
    <row r="312" spans="1:13" x14ac:dyDescent="0.25">
      <c r="A312" t="s">
        <v>127</v>
      </c>
      <c r="B312" t="s">
        <v>82</v>
      </c>
      <c r="C312" t="s">
        <v>108</v>
      </c>
      <c r="D312" t="s">
        <v>84</v>
      </c>
      <c r="E312" t="s">
        <v>109</v>
      </c>
      <c r="F312" t="s">
        <v>108</v>
      </c>
      <c r="I312" s="2">
        <v>128000</v>
      </c>
      <c r="J312">
        <v>0</v>
      </c>
      <c r="K312" s="2" t="s">
        <v>140</v>
      </c>
      <c r="L312" t="s">
        <v>123</v>
      </c>
      <c r="M312" t="s">
        <v>151</v>
      </c>
    </row>
    <row r="313" spans="1:13" x14ac:dyDescent="0.25">
      <c r="A313" t="s">
        <v>127</v>
      </c>
      <c r="B313" t="s">
        <v>82</v>
      </c>
      <c r="C313" t="s">
        <v>108</v>
      </c>
      <c r="D313" t="s">
        <v>84</v>
      </c>
      <c r="E313" t="s">
        <v>109</v>
      </c>
      <c r="F313" t="s">
        <v>108</v>
      </c>
      <c r="I313" s="2">
        <v>128000</v>
      </c>
      <c r="J313">
        <v>0</v>
      </c>
      <c r="K313" s="2" t="s">
        <v>137</v>
      </c>
      <c r="L313" t="s">
        <v>123</v>
      </c>
      <c r="M313" t="s">
        <v>151</v>
      </c>
    </row>
    <row r="314" spans="1:13" x14ac:dyDescent="0.25">
      <c r="A314" t="s">
        <v>127</v>
      </c>
      <c r="B314" t="s">
        <v>82</v>
      </c>
      <c r="C314" t="s">
        <v>103</v>
      </c>
      <c r="D314" t="s">
        <v>97</v>
      </c>
      <c r="E314" t="s">
        <v>103</v>
      </c>
      <c r="I314" s="2">
        <v>128000</v>
      </c>
      <c r="J314">
        <v>0</v>
      </c>
      <c r="K314" s="2" t="s">
        <v>128</v>
      </c>
      <c r="L314" t="s">
        <v>123</v>
      </c>
      <c r="M314" t="s">
        <v>151</v>
      </c>
    </row>
    <row r="315" spans="1:13" x14ac:dyDescent="0.25">
      <c r="A315" t="s">
        <v>127</v>
      </c>
      <c r="B315" t="s">
        <v>82</v>
      </c>
      <c r="C315" t="s">
        <v>108</v>
      </c>
      <c r="D315" t="s">
        <v>84</v>
      </c>
      <c r="E315" t="s">
        <v>109</v>
      </c>
      <c r="F315" t="s">
        <v>108</v>
      </c>
      <c r="I315" s="2">
        <v>128000</v>
      </c>
      <c r="J315">
        <v>0</v>
      </c>
      <c r="K315" s="2" t="s">
        <v>87</v>
      </c>
      <c r="L315" t="s">
        <v>123</v>
      </c>
      <c r="M315" t="s">
        <v>151</v>
      </c>
    </row>
    <row r="316" spans="1:13" x14ac:dyDescent="0.25">
      <c r="A316" t="s">
        <v>127</v>
      </c>
      <c r="B316" t="s">
        <v>82</v>
      </c>
      <c r="C316" t="s">
        <v>108</v>
      </c>
      <c r="D316" t="s">
        <v>84</v>
      </c>
      <c r="E316" t="s">
        <v>109</v>
      </c>
      <c r="F316" t="s">
        <v>108</v>
      </c>
      <c r="I316" s="2">
        <v>128000</v>
      </c>
      <c r="J316">
        <v>0</v>
      </c>
      <c r="K316" s="2" t="s">
        <v>128</v>
      </c>
      <c r="L316" t="s">
        <v>123</v>
      </c>
      <c r="M316" t="s">
        <v>151</v>
      </c>
    </row>
    <row r="317" spans="1:13" x14ac:dyDescent="0.25">
      <c r="A317" t="s">
        <v>127</v>
      </c>
      <c r="B317" t="s">
        <v>82</v>
      </c>
      <c r="C317" t="s">
        <v>108</v>
      </c>
      <c r="D317" t="s">
        <v>84</v>
      </c>
      <c r="E317" t="s">
        <v>109</v>
      </c>
      <c r="F317" t="s">
        <v>108</v>
      </c>
      <c r="I317" s="2">
        <v>128000</v>
      </c>
      <c r="J317">
        <v>0</v>
      </c>
      <c r="K317" s="2" t="s">
        <v>87</v>
      </c>
      <c r="L317" t="s">
        <v>123</v>
      </c>
      <c r="M317" t="s">
        <v>151</v>
      </c>
    </row>
    <row r="318" spans="1:13" x14ac:dyDescent="0.25">
      <c r="A318" t="s">
        <v>127</v>
      </c>
      <c r="B318" t="s">
        <v>82</v>
      </c>
      <c r="C318" t="s">
        <v>103</v>
      </c>
      <c r="D318" t="s">
        <v>97</v>
      </c>
      <c r="E318" t="s">
        <v>103</v>
      </c>
      <c r="I318" s="2">
        <v>128000</v>
      </c>
      <c r="J318">
        <v>0</v>
      </c>
      <c r="K318" s="2" t="s">
        <v>140</v>
      </c>
      <c r="L318" t="s">
        <v>123</v>
      </c>
      <c r="M318" t="s">
        <v>151</v>
      </c>
    </row>
    <row r="319" spans="1:13" x14ac:dyDescent="0.25">
      <c r="A319" t="s">
        <v>127</v>
      </c>
      <c r="B319" t="s">
        <v>82</v>
      </c>
      <c r="C319" t="s">
        <v>113</v>
      </c>
      <c r="D319" t="s">
        <v>84</v>
      </c>
      <c r="E319" t="s">
        <v>85</v>
      </c>
      <c r="F319" t="s">
        <v>86</v>
      </c>
      <c r="G319" t="s">
        <v>113</v>
      </c>
      <c r="I319">
        <v>0</v>
      </c>
      <c r="J319" s="2">
        <v>160000</v>
      </c>
      <c r="K319" s="2" t="s">
        <v>87</v>
      </c>
      <c r="L319" t="s">
        <v>123</v>
      </c>
      <c r="M319" t="s">
        <v>151</v>
      </c>
    </row>
    <row r="320" spans="1:13" x14ac:dyDescent="0.25">
      <c r="A320" t="s">
        <v>127</v>
      </c>
      <c r="B320" t="s">
        <v>82</v>
      </c>
      <c r="C320" t="s">
        <v>113</v>
      </c>
      <c r="D320" t="s">
        <v>84</v>
      </c>
      <c r="E320" t="s">
        <v>85</v>
      </c>
      <c r="F320" t="s">
        <v>86</v>
      </c>
      <c r="G320" t="s">
        <v>113</v>
      </c>
      <c r="I320">
        <v>0</v>
      </c>
      <c r="J320" s="2">
        <v>160000</v>
      </c>
      <c r="K320" s="2" t="s">
        <v>140</v>
      </c>
      <c r="L320" t="s">
        <v>123</v>
      </c>
      <c r="M320" t="s">
        <v>151</v>
      </c>
    </row>
    <row r="321" spans="1:24" x14ac:dyDescent="0.25">
      <c r="A321" t="s">
        <v>127</v>
      </c>
      <c r="B321" t="s">
        <v>82</v>
      </c>
      <c r="C321" t="s">
        <v>113</v>
      </c>
      <c r="D321" t="s">
        <v>84</v>
      </c>
      <c r="E321" t="s">
        <v>85</v>
      </c>
      <c r="F321" t="s">
        <v>86</v>
      </c>
      <c r="G321" t="s">
        <v>113</v>
      </c>
      <c r="I321">
        <v>0</v>
      </c>
      <c r="J321" s="2">
        <v>160000</v>
      </c>
      <c r="K321" s="2" t="s">
        <v>137</v>
      </c>
      <c r="L321" t="s">
        <v>123</v>
      </c>
      <c r="M321" t="s">
        <v>151</v>
      </c>
    </row>
    <row r="322" spans="1:24" x14ac:dyDescent="0.25">
      <c r="A322" t="s">
        <v>127</v>
      </c>
      <c r="B322" t="s">
        <v>82</v>
      </c>
      <c r="C322" t="s">
        <v>113</v>
      </c>
      <c r="D322" t="s">
        <v>84</v>
      </c>
      <c r="E322" t="s">
        <v>85</v>
      </c>
      <c r="F322" t="s">
        <v>86</v>
      </c>
      <c r="G322" t="s">
        <v>113</v>
      </c>
      <c r="I322">
        <v>0</v>
      </c>
      <c r="J322" s="2">
        <v>160000</v>
      </c>
      <c r="K322" s="2" t="s">
        <v>128</v>
      </c>
      <c r="L322" t="s">
        <v>123</v>
      </c>
      <c r="M322" t="s">
        <v>151</v>
      </c>
    </row>
    <row r="323" spans="1:24" x14ac:dyDescent="0.25">
      <c r="A323" t="s">
        <v>127</v>
      </c>
      <c r="B323" t="s">
        <v>82</v>
      </c>
      <c r="C323" t="s">
        <v>117</v>
      </c>
      <c r="D323" t="s">
        <v>84</v>
      </c>
      <c r="E323" t="s">
        <v>85</v>
      </c>
      <c r="F323" t="s">
        <v>86</v>
      </c>
      <c r="G323" t="s">
        <v>117</v>
      </c>
      <c r="I323">
        <v>0</v>
      </c>
      <c r="J323" s="2">
        <v>160000</v>
      </c>
      <c r="K323" s="2" t="s">
        <v>87</v>
      </c>
      <c r="L323" t="s">
        <v>123</v>
      </c>
      <c r="M323" t="s">
        <v>151</v>
      </c>
    </row>
    <row r="324" spans="1:24" x14ac:dyDescent="0.25">
      <c r="A324" t="s">
        <v>127</v>
      </c>
      <c r="B324" t="s">
        <v>82</v>
      </c>
      <c r="C324" t="s">
        <v>83</v>
      </c>
      <c r="D324" t="s">
        <v>84</v>
      </c>
      <c r="E324" t="s">
        <v>85</v>
      </c>
      <c r="F324" t="s">
        <v>86</v>
      </c>
      <c r="G324" t="s">
        <v>83</v>
      </c>
      <c r="I324">
        <v>0</v>
      </c>
      <c r="J324" s="2">
        <v>160000</v>
      </c>
      <c r="K324" s="2" t="s">
        <v>138</v>
      </c>
      <c r="L324" t="s">
        <v>123</v>
      </c>
      <c r="M324" t="s">
        <v>151</v>
      </c>
    </row>
    <row r="325" spans="1:24" x14ac:dyDescent="0.25">
      <c r="A325" t="s">
        <v>127</v>
      </c>
      <c r="B325" t="s">
        <v>82</v>
      </c>
      <c r="C325" t="s">
        <v>113</v>
      </c>
      <c r="D325" t="s">
        <v>84</v>
      </c>
      <c r="E325" t="s">
        <v>85</v>
      </c>
      <c r="F325" t="s">
        <v>86</v>
      </c>
      <c r="G325" t="s">
        <v>113</v>
      </c>
      <c r="I325">
        <v>0</v>
      </c>
      <c r="J325" s="2">
        <v>160000</v>
      </c>
      <c r="K325" s="2" t="s">
        <v>87</v>
      </c>
      <c r="L325" t="s">
        <v>123</v>
      </c>
      <c r="M325" t="s">
        <v>151</v>
      </c>
    </row>
    <row r="326" spans="1:24" x14ac:dyDescent="0.25">
      <c r="A326" t="s">
        <v>127</v>
      </c>
      <c r="B326" t="s">
        <v>82</v>
      </c>
      <c r="C326" t="s">
        <v>113</v>
      </c>
      <c r="D326" t="s">
        <v>84</v>
      </c>
      <c r="E326" t="s">
        <v>85</v>
      </c>
      <c r="F326" t="s">
        <v>86</v>
      </c>
      <c r="G326" t="s">
        <v>113</v>
      </c>
      <c r="I326">
        <v>0</v>
      </c>
      <c r="J326" s="2">
        <v>160000</v>
      </c>
      <c r="K326" s="2" t="s">
        <v>140</v>
      </c>
      <c r="L326" t="s">
        <v>123</v>
      </c>
      <c r="M326" t="s">
        <v>151</v>
      </c>
    </row>
    <row r="327" spans="1:24" x14ac:dyDescent="0.25">
      <c r="A327" t="s">
        <v>127</v>
      </c>
      <c r="B327" t="s">
        <v>82</v>
      </c>
      <c r="C327" t="s">
        <v>113</v>
      </c>
      <c r="D327" t="s">
        <v>84</v>
      </c>
      <c r="E327" t="s">
        <v>85</v>
      </c>
      <c r="F327" t="s">
        <v>86</v>
      </c>
      <c r="G327" t="s">
        <v>113</v>
      </c>
      <c r="I327">
        <v>0</v>
      </c>
      <c r="J327" s="2">
        <v>160000</v>
      </c>
      <c r="K327" s="2" t="s">
        <v>87</v>
      </c>
      <c r="L327" t="s">
        <v>123</v>
      </c>
      <c r="M327" t="s">
        <v>151</v>
      </c>
    </row>
    <row r="328" spans="1:24" x14ac:dyDescent="0.25">
      <c r="A328" t="s">
        <v>127</v>
      </c>
      <c r="B328" t="s">
        <v>82</v>
      </c>
      <c r="C328" t="s">
        <v>113</v>
      </c>
      <c r="D328" t="s">
        <v>84</v>
      </c>
      <c r="E328" t="s">
        <v>85</v>
      </c>
      <c r="F328" t="s">
        <v>86</v>
      </c>
      <c r="G328" t="s">
        <v>113</v>
      </c>
      <c r="I328">
        <v>0</v>
      </c>
      <c r="J328" s="2">
        <v>160000</v>
      </c>
      <c r="K328" s="2" t="s">
        <v>140</v>
      </c>
      <c r="L328" t="s">
        <v>123</v>
      </c>
      <c r="M328" t="s">
        <v>151</v>
      </c>
    </row>
    <row r="329" spans="1:24" x14ac:dyDescent="0.25">
      <c r="A329" t="s">
        <v>127</v>
      </c>
      <c r="B329" t="s">
        <v>82</v>
      </c>
      <c r="C329" t="s">
        <v>113</v>
      </c>
      <c r="D329" t="s">
        <v>84</v>
      </c>
      <c r="E329" t="s">
        <v>85</v>
      </c>
      <c r="F329" t="s">
        <v>86</v>
      </c>
      <c r="G329" t="s">
        <v>113</v>
      </c>
      <c r="I329">
        <v>0</v>
      </c>
      <c r="J329" s="2">
        <v>160000</v>
      </c>
      <c r="K329" s="2" t="s">
        <v>137</v>
      </c>
      <c r="L329" t="s">
        <v>123</v>
      </c>
      <c r="M329" t="s">
        <v>151</v>
      </c>
    </row>
    <row r="330" spans="1:24" x14ac:dyDescent="0.25">
      <c r="A330" t="s">
        <v>127</v>
      </c>
      <c r="B330" t="s">
        <v>82</v>
      </c>
      <c r="C330" t="s">
        <v>113</v>
      </c>
      <c r="D330" t="s">
        <v>84</v>
      </c>
      <c r="E330" t="s">
        <v>85</v>
      </c>
      <c r="F330" t="s">
        <v>86</v>
      </c>
      <c r="G330" t="s">
        <v>113</v>
      </c>
      <c r="I330">
        <v>0</v>
      </c>
      <c r="J330" s="2">
        <v>160000</v>
      </c>
      <c r="K330" s="2" t="s">
        <v>128</v>
      </c>
      <c r="L330" t="s">
        <v>123</v>
      </c>
      <c r="M330" t="s">
        <v>151</v>
      </c>
    </row>
    <row r="331" spans="1:24" x14ac:dyDescent="0.25">
      <c r="A331" t="s">
        <v>127</v>
      </c>
      <c r="B331" t="s">
        <v>82</v>
      </c>
      <c r="C331" t="s">
        <v>113</v>
      </c>
      <c r="D331" t="s">
        <v>84</v>
      </c>
      <c r="E331" t="s">
        <v>85</v>
      </c>
      <c r="F331" t="s">
        <v>86</v>
      </c>
      <c r="G331" t="s">
        <v>113</v>
      </c>
      <c r="I331">
        <v>0</v>
      </c>
      <c r="J331" s="2">
        <v>160000</v>
      </c>
      <c r="K331" s="2" t="s">
        <v>87</v>
      </c>
      <c r="L331" t="s">
        <v>123</v>
      </c>
      <c r="M331" t="s">
        <v>151</v>
      </c>
    </row>
    <row r="332" spans="1:24" x14ac:dyDescent="0.25">
      <c r="A332" t="s">
        <v>144</v>
      </c>
      <c r="B332" t="s">
        <v>145</v>
      </c>
      <c r="C332" t="s">
        <v>83</v>
      </c>
      <c r="D332" t="s">
        <v>84</v>
      </c>
      <c r="E332" t="s">
        <v>85</v>
      </c>
      <c r="F332" t="s">
        <v>86</v>
      </c>
      <c r="G332" t="s">
        <v>83</v>
      </c>
      <c r="I332">
        <v>0</v>
      </c>
      <c r="J332" s="2">
        <v>6017000</v>
      </c>
      <c r="K332" s="2" t="s">
        <v>146</v>
      </c>
      <c r="L332" t="s">
        <v>123</v>
      </c>
      <c r="M332" t="s">
        <v>151</v>
      </c>
    </row>
    <row r="333" spans="1:24" x14ac:dyDescent="0.25">
      <c r="A333" t="s">
        <v>144</v>
      </c>
      <c r="B333" t="s">
        <v>145</v>
      </c>
      <c r="C333" t="s">
        <v>83</v>
      </c>
      <c r="D333" t="s">
        <v>84</v>
      </c>
      <c r="E333" t="s">
        <v>85</v>
      </c>
      <c r="F333" t="s">
        <v>86</v>
      </c>
      <c r="G333" t="s">
        <v>83</v>
      </c>
      <c r="I333">
        <v>0</v>
      </c>
      <c r="J333" s="2">
        <v>3728000</v>
      </c>
      <c r="K333" s="2" t="s">
        <v>147</v>
      </c>
      <c r="L333" t="s">
        <v>123</v>
      </c>
      <c r="M333" t="s">
        <v>151</v>
      </c>
    </row>
    <row r="334" spans="1:24" x14ac:dyDescent="0.25">
      <c r="A334" t="s">
        <v>127</v>
      </c>
      <c r="B334" s="1" t="s">
        <v>82</v>
      </c>
      <c r="C334" s="1" t="s">
        <v>104</v>
      </c>
      <c r="D334" s="1" t="s">
        <v>97</v>
      </c>
      <c r="E334" s="1" t="s">
        <v>105</v>
      </c>
      <c r="F334" s="1" t="s">
        <v>104</v>
      </c>
      <c r="G334" s="1"/>
      <c r="H334" s="1"/>
      <c r="I334" s="2">
        <v>0</v>
      </c>
      <c r="J334" s="2">
        <v>100000</v>
      </c>
      <c r="K334" s="2" t="s">
        <v>128</v>
      </c>
      <c r="L334" s="2" t="s">
        <v>88</v>
      </c>
      <c r="M334" s="2" t="s">
        <v>89</v>
      </c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25">
      <c r="A335" t="s">
        <v>127</v>
      </c>
      <c r="B335" s="1" t="s">
        <v>82</v>
      </c>
      <c r="C335" s="1" t="s">
        <v>104</v>
      </c>
      <c r="D335" s="1" t="s">
        <v>97</v>
      </c>
      <c r="E335" s="1" t="s">
        <v>105</v>
      </c>
      <c r="F335" s="1" t="s">
        <v>104</v>
      </c>
      <c r="G335" s="1"/>
      <c r="H335" s="1"/>
      <c r="I335" s="2">
        <v>0</v>
      </c>
      <c r="J335" s="2">
        <v>168000</v>
      </c>
      <c r="K335" s="2" t="s">
        <v>142</v>
      </c>
      <c r="L335" s="2" t="s">
        <v>88</v>
      </c>
      <c r="M335" s="2" t="s">
        <v>89</v>
      </c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25">
      <c r="A336" t="s">
        <v>127</v>
      </c>
      <c r="B336" s="1" t="s">
        <v>82</v>
      </c>
      <c r="C336" s="1" t="s">
        <v>106</v>
      </c>
      <c r="D336" s="1" t="s">
        <v>97</v>
      </c>
      <c r="E336" s="1" t="s">
        <v>105</v>
      </c>
      <c r="F336" s="1" t="s">
        <v>106</v>
      </c>
      <c r="G336" s="1"/>
      <c r="H336" s="1"/>
      <c r="I336" s="2">
        <v>200000</v>
      </c>
      <c r="J336" s="2">
        <v>0</v>
      </c>
      <c r="K336" s="2" t="s">
        <v>87</v>
      </c>
      <c r="L336" s="2" t="s">
        <v>88</v>
      </c>
      <c r="M336" s="2" t="s">
        <v>89</v>
      </c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25">
      <c r="A337" t="s">
        <v>127</v>
      </c>
      <c r="B337" s="1" t="s">
        <v>82</v>
      </c>
      <c r="C337" s="1" t="s">
        <v>152</v>
      </c>
      <c r="D337" s="1" t="s">
        <v>97</v>
      </c>
      <c r="E337" s="1" t="s">
        <v>105</v>
      </c>
      <c r="F337" s="1" t="s">
        <v>152</v>
      </c>
      <c r="G337" s="1"/>
      <c r="H337" s="1"/>
      <c r="I337" s="2">
        <v>0</v>
      </c>
      <c r="J337" s="2">
        <v>8630</v>
      </c>
      <c r="K337" s="2" t="s">
        <v>142</v>
      </c>
      <c r="L337" s="2" t="s">
        <v>88</v>
      </c>
      <c r="M337" s="2" t="s">
        <v>89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25">
      <c r="A338" t="s">
        <v>127</v>
      </c>
      <c r="B338" s="1" t="s">
        <v>82</v>
      </c>
      <c r="C338" s="1" t="s">
        <v>152</v>
      </c>
      <c r="D338" s="1" t="s">
        <v>97</v>
      </c>
      <c r="E338" s="1" t="s">
        <v>105</v>
      </c>
      <c r="F338" s="1" t="s">
        <v>152</v>
      </c>
      <c r="G338" s="1"/>
      <c r="H338" s="1"/>
      <c r="I338" s="2">
        <v>0</v>
      </c>
      <c r="J338" s="2">
        <v>96000</v>
      </c>
      <c r="K338" s="2" t="s">
        <v>134</v>
      </c>
      <c r="L338" s="2" t="s">
        <v>88</v>
      </c>
      <c r="M338" s="2" t="s">
        <v>89</v>
      </c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25">
      <c r="A339" t="s">
        <v>127</v>
      </c>
      <c r="B339" s="1" t="s">
        <v>82</v>
      </c>
      <c r="C339" s="1" t="s">
        <v>153</v>
      </c>
      <c r="D339" s="1" t="s">
        <v>97</v>
      </c>
      <c r="E339" s="1" t="s">
        <v>105</v>
      </c>
      <c r="F339" s="1" t="s">
        <v>153</v>
      </c>
      <c r="G339" s="1"/>
      <c r="H339" s="1"/>
      <c r="I339" s="2">
        <v>24000</v>
      </c>
      <c r="J339" s="2">
        <v>0</v>
      </c>
      <c r="K339" s="2" t="s">
        <v>138</v>
      </c>
      <c r="L339" s="2" t="s">
        <v>88</v>
      </c>
      <c r="M339" s="2" t="s">
        <v>89</v>
      </c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25">
      <c r="A340" t="s">
        <v>127</v>
      </c>
      <c r="B340" s="1" t="s">
        <v>82</v>
      </c>
      <c r="C340" s="1" t="s">
        <v>154</v>
      </c>
      <c r="D340" s="1" t="s">
        <v>97</v>
      </c>
      <c r="E340" s="1" t="s">
        <v>105</v>
      </c>
      <c r="F340" s="1" t="s">
        <v>154</v>
      </c>
      <c r="G340" s="1"/>
      <c r="H340" s="1"/>
      <c r="I340" s="2">
        <v>0</v>
      </c>
      <c r="J340" s="2">
        <v>168000</v>
      </c>
      <c r="K340" s="2" t="s">
        <v>142</v>
      </c>
      <c r="L340" s="2" t="s">
        <v>88</v>
      </c>
      <c r="M340" s="2" t="s">
        <v>89</v>
      </c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25">
      <c r="A341" t="s">
        <v>127</v>
      </c>
      <c r="B341" s="1" t="s">
        <v>82</v>
      </c>
      <c r="C341" s="1" t="s">
        <v>155</v>
      </c>
      <c r="D341" s="1" t="s">
        <v>97</v>
      </c>
      <c r="E341" s="1" t="s">
        <v>105</v>
      </c>
      <c r="F341" s="1" t="s">
        <v>155</v>
      </c>
      <c r="G341" s="1"/>
      <c r="H341" s="1"/>
      <c r="I341" s="2">
        <v>15000</v>
      </c>
      <c r="J341" s="2">
        <v>0</v>
      </c>
      <c r="K341" s="2" t="s">
        <v>140</v>
      </c>
      <c r="L341" s="2" t="s">
        <v>88</v>
      </c>
      <c r="M341" s="2" t="s">
        <v>89</v>
      </c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25">
      <c r="A342" t="s">
        <v>127</v>
      </c>
      <c r="B342" s="1" t="s">
        <v>82</v>
      </c>
      <c r="C342" s="1" t="s">
        <v>155</v>
      </c>
      <c r="D342" s="1" t="s">
        <v>97</v>
      </c>
      <c r="E342" s="1" t="s">
        <v>105</v>
      </c>
      <c r="F342" s="1" t="s">
        <v>155</v>
      </c>
      <c r="G342" s="1"/>
      <c r="H342" s="1"/>
      <c r="I342" s="2">
        <v>20000</v>
      </c>
      <c r="J342" s="2">
        <v>0</v>
      </c>
      <c r="K342" s="2" t="s">
        <v>137</v>
      </c>
      <c r="L342" s="2" t="s">
        <v>88</v>
      </c>
      <c r="M342" s="2" t="s">
        <v>89</v>
      </c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7 Plan de trésorerie</vt:lpstr>
      <vt:lpstr>Donnees</vt:lpstr>
      <vt:lpstr>'Tableau 7 Plan de trésorerie'!Zone_d_impression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2014-04-23T08:44:22Z</cp:lastPrinted>
  <dcterms:created xsi:type="dcterms:W3CDTF">2014-02-24T14:02:19Z</dcterms:created>
  <dcterms:modified xsi:type="dcterms:W3CDTF">2024-06-18T13:16:56Z</dcterms:modified>
</cp:coreProperties>
</file>