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1.01\fr\oct\editions\"/>
    </mc:Choice>
  </mc:AlternateContent>
  <xr:revisionPtr revIDLastSave="0" documentId="8_{8112C0B7-ABFA-424C-9F9B-04BE0777156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ILAN ACTIF" sheetId="7" r:id="rId1"/>
    <sheet name="BILAN PASSIF" sheetId="8" r:id="rId2"/>
    <sheet name="RESULTAT" sheetId="9" r:id="rId3"/>
    <sheet name="SIG" sheetId="5" r:id="rId4"/>
    <sheet name="BFR" sheetId="10" r:id="rId5"/>
    <sheet name="TFT" sheetId="11" r:id="rId6"/>
    <sheet name="CAF" sheetId="6" r:id="rId7"/>
    <sheet name="I. Tableau des E et R" sheetId="12" r:id="rId8"/>
    <sheet name="II. Tableau des E et R" sheetId="13" r:id="rId9"/>
    <sheet name="Donnees" sheetId="1" r:id="rId10"/>
  </sheets>
  <definedNames>
    <definedName name="_xlnm.Print_Area" localSheetId="0">'BILAN ACTIF'!$B$1:$F$51</definedName>
    <definedName name="_xlnm.Print_Area" localSheetId="1">'BILAN PASSIF'!$B$1:$D$39</definedName>
    <definedName name="_xlnm.Print_Area" localSheetId="6">CAF!$B$1:$D$16</definedName>
    <definedName name="_xlnm.Print_Area" localSheetId="2">RESULTAT!$B$1:$D$71</definedName>
    <definedName name="_xlnm.Print_Area" localSheetId="3">SIG!$B$1:$D$52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3" l="1"/>
  <c r="G29" i="13" s="1"/>
  <c r="F28" i="13"/>
  <c r="G27" i="13"/>
  <c r="F27" i="13"/>
  <c r="F29" i="13" s="1"/>
  <c r="G20" i="13"/>
  <c r="F20" i="13"/>
  <c r="G19" i="13"/>
  <c r="G21" i="13" s="1"/>
  <c r="F19" i="13"/>
  <c r="G15" i="13"/>
  <c r="F15" i="13"/>
  <c r="G14" i="13"/>
  <c r="F14" i="13"/>
  <c r="G12" i="13"/>
  <c r="F12" i="13"/>
  <c r="G11" i="13"/>
  <c r="F11" i="13"/>
  <c r="F16" i="13" s="1"/>
  <c r="G10" i="13"/>
  <c r="F10" i="13"/>
  <c r="D28" i="13"/>
  <c r="D27" i="13"/>
  <c r="D14" i="13"/>
  <c r="D20" i="13"/>
  <c r="D19" i="13"/>
  <c r="D15" i="13"/>
  <c r="D12" i="13"/>
  <c r="D11" i="13"/>
  <c r="D10" i="13"/>
  <c r="C28" i="13"/>
  <c r="C27" i="13"/>
  <c r="C14" i="13"/>
  <c r="C11" i="13"/>
  <c r="C20" i="13"/>
  <c r="C19" i="13"/>
  <c r="C15" i="13"/>
  <c r="C12" i="13"/>
  <c r="C10" i="13"/>
  <c r="F21" i="13" l="1"/>
  <c r="H22" i="13"/>
  <c r="G16" i="13"/>
  <c r="H17" i="13" s="1"/>
  <c r="H25" i="13"/>
  <c r="H24" i="13"/>
  <c r="H30" i="13"/>
  <c r="H33" i="13" s="1"/>
  <c r="H32" i="13" l="1"/>
  <c r="C29" i="13" l="1"/>
  <c r="C21" i="13"/>
  <c r="C16" i="13"/>
  <c r="D6" i="12"/>
  <c r="D29" i="13" l="1"/>
  <c r="E30" i="13" s="1"/>
  <c r="D21" i="13"/>
  <c r="E22" i="13" s="1"/>
  <c r="D16" i="13"/>
  <c r="E17" i="13" s="1"/>
  <c r="E33" i="13" l="1"/>
  <c r="E25" i="13"/>
  <c r="E32" i="13"/>
  <c r="E24" i="13"/>
  <c r="G13" i="12"/>
  <c r="F13" i="12"/>
  <c r="D11" i="12"/>
  <c r="D10" i="12"/>
  <c r="D9" i="12"/>
  <c r="D8" i="12"/>
  <c r="C10" i="12"/>
  <c r="C9" i="12"/>
  <c r="C8" i="12"/>
  <c r="D13" i="12"/>
  <c r="D12" i="12"/>
  <c r="G14" i="12"/>
  <c r="G15" i="12"/>
  <c r="G11" i="12"/>
  <c r="G10" i="12"/>
  <c r="G9" i="12"/>
  <c r="F15" i="12"/>
  <c r="F14" i="12"/>
  <c r="F11" i="12"/>
  <c r="F10" i="12"/>
  <c r="F9" i="12"/>
  <c r="C13" i="12"/>
  <c r="C12" i="12"/>
  <c r="C11" i="12"/>
  <c r="C6" i="12"/>
  <c r="D16" i="12" l="1"/>
  <c r="C16" i="12"/>
  <c r="F48" i="7"/>
  <c r="E48" i="7"/>
  <c r="D48" i="7"/>
  <c r="C48" i="7"/>
  <c r="D19" i="11"/>
  <c r="C19" i="11"/>
  <c r="D26" i="11" l="1"/>
  <c r="C27" i="11" l="1"/>
  <c r="D27" i="11"/>
  <c r="D17" i="11" l="1"/>
  <c r="C17" i="11"/>
  <c r="D8" i="11"/>
  <c r="C8" i="11"/>
  <c r="E21" i="10" l="1"/>
  <c r="D21" i="10"/>
  <c r="C21" i="10"/>
  <c r="E12" i="10"/>
  <c r="D12" i="10"/>
  <c r="C12" i="10"/>
  <c r="G21" i="10" l="1"/>
  <c r="F21" i="10"/>
  <c r="G12" i="10"/>
  <c r="F12" i="10"/>
  <c r="D31" i="11" l="1"/>
  <c r="C31" i="11"/>
  <c r="D30" i="11"/>
  <c r="C30" i="11"/>
  <c r="D24" i="11"/>
  <c r="C24" i="11"/>
  <c r="D23" i="11"/>
  <c r="C23" i="11"/>
  <c r="D18" i="11"/>
  <c r="C18" i="11"/>
  <c r="E20" i="10" l="1"/>
  <c r="E19" i="10"/>
  <c r="E18" i="10"/>
  <c r="E17" i="10"/>
  <c r="E16" i="10"/>
  <c r="E15" i="10"/>
  <c r="E14" i="10"/>
  <c r="E11" i="10"/>
  <c r="E10" i="10"/>
  <c r="E9" i="10"/>
  <c r="E8" i="10"/>
  <c r="E7" i="10"/>
  <c r="E6" i="10"/>
  <c r="E5" i="10"/>
  <c r="D20" i="10"/>
  <c r="D19" i="10"/>
  <c r="D18" i="10"/>
  <c r="D17" i="10"/>
  <c r="D16" i="10"/>
  <c r="D15" i="10"/>
  <c r="D14" i="10"/>
  <c r="D11" i="10"/>
  <c r="D10" i="10"/>
  <c r="D9" i="10"/>
  <c r="D8" i="10"/>
  <c r="D7" i="10"/>
  <c r="D6" i="10"/>
  <c r="D5" i="10"/>
  <c r="D13" i="10" s="1"/>
  <c r="C20" i="10"/>
  <c r="C19" i="10"/>
  <c r="C18" i="10"/>
  <c r="C17" i="10"/>
  <c r="C16" i="10"/>
  <c r="C15" i="10"/>
  <c r="C14" i="10"/>
  <c r="C11" i="10"/>
  <c r="C10" i="10"/>
  <c r="C9" i="10"/>
  <c r="C8" i="10"/>
  <c r="C7" i="10"/>
  <c r="C6" i="10"/>
  <c r="C5" i="10"/>
  <c r="C22" i="10" l="1"/>
  <c r="E22" i="10"/>
  <c r="E13" i="10"/>
  <c r="D22" i="10"/>
  <c r="C13" i="10"/>
  <c r="G20" i="10"/>
  <c r="G19" i="10"/>
  <c r="G18" i="10"/>
  <c r="G17" i="10"/>
  <c r="G16" i="10"/>
  <c r="G15" i="10"/>
  <c r="G14" i="10"/>
  <c r="G22" i="10" s="1"/>
  <c r="D14" i="11" s="1"/>
  <c r="G11" i="10"/>
  <c r="G10" i="10"/>
  <c r="G9" i="10"/>
  <c r="G8" i="10"/>
  <c r="G7" i="10"/>
  <c r="G6" i="10"/>
  <c r="G5" i="10"/>
  <c r="F20" i="10"/>
  <c r="F19" i="10"/>
  <c r="F18" i="10"/>
  <c r="F17" i="10"/>
  <c r="F16" i="10"/>
  <c r="F15" i="10"/>
  <c r="F14" i="10"/>
  <c r="F11" i="10"/>
  <c r="F10" i="10"/>
  <c r="C13" i="11" s="1"/>
  <c r="F9" i="10"/>
  <c r="F8" i="10"/>
  <c r="F7" i="10"/>
  <c r="F6" i="10"/>
  <c r="F5" i="10"/>
  <c r="D32" i="11"/>
  <c r="D21" i="11"/>
  <c r="G13" i="10" l="1"/>
  <c r="F22" i="10"/>
  <c r="C14" i="11" s="1"/>
  <c r="D13" i="11"/>
  <c r="F13" i="10"/>
  <c r="D28" i="11"/>
  <c r="C21" i="11"/>
  <c r="C32" i="11"/>
  <c r="D24" i="10"/>
  <c r="I2" i="1"/>
  <c r="H2" i="1"/>
  <c r="E4" i="10" s="1"/>
  <c r="C12" i="11" l="1"/>
  <c r="F24" i="10"/>
  <c r="G24" i="10"/>
  <c r="D12" i="11"/>
  <c r="E24" i="10"/>
  <c r="D10" i="8"/>
  <c r="C11" i="11" l="1"/>
  <c r="D11" i="11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50" i="5"/>
  <c r="C50" i="5"/>
  <c r="D49" i="5"/>
  <c r="C49" i="5"/>
  <c r="D47" i="5"/>
  <c r="C47" i="5"/>
  <c r="D46" i="5"/>
  <c r="C46" i="5"/>
  <c r="D44" i="5"/>
  <c r="C44" i="5"/>
  <c r="D43" i="5"/>
  <c r="C43" i="5"/>
  <c r="D42" i="5"/>
  <c r="C42" i="5"/>
  <c r="D41" i="5"/>
  <c r="C41" i="5"/>
  <c r="D39" i="5"/>
  <c r="C39" i="5"/>
  <c r="D38" i="5"/>
  <c r="C38" i="5"/>
  <c r="D37" i="5"/>
  <c r="C37" i="5"/>
  <c r="D36" i="5"/>
  <c r="C36" i="5"/>
  <c r="D35" i="5"/>
  <c r="C35" i="5"/>
  <c r="D33" i="5"/>
  <c r="C33" i="5"/>
  <c r="D32" i="5"/>
  <c r="C32" i="5"/>
  <c r="D31" i="5"/>
  <c r="C31" i="5"/>
  <c r="D29" i="5"/>
  <c r="C29" i="5"/>
  <c r="D28" i="5"/>
  <c r="C28" i="5"/>
  <c r="D27" i="5"/>
  <c r="C27" i="5"/>
  <c r="D26" i="5"/>
  <c r="C26" i="5"/>
  <c r="D25" i="5"/>
  <c r="C25" i="5"/>
  <c r="D24" i="5"/>
  <c r="C24" i="5"/>
  <c r="D22" i="5"/>
  <c r="C22" i="5"/>
  <c r="D21" i="5"/>
  <c r="C21" i="5"/>
  <c r="D20" i="5"/>
  <c r="C20" i="5"/>
  <c r="D18" i="5"/>
  <c r="C18" i="5"/>
  <c r="D17" i="5"/>
  <c r="C17" i="5"/>
  <c r="D16" i="5"/>
  <c r="C16" i="5"/>
  <c r="D15" i="5"/>
  <c r="C15" i="5"/>
  <c r="D14" i="5"/>
  <c r="C14" i="5"/>
  <c r="D13" i="5"/>
  <c r="C13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68" i="9"/>
  <c r="C68" i="9"/>
  <c r="D67" i="9"/>
  <c r="C67" i="9"/>
  <c r="D64" i="9"/>
  <c r="C64" i="9"/>
  <c r="D63" i="9"/>
  <c r="C63" i="9"/>
  <c r="D62" i="9"/>
  <c r="C62" i="9"/>
  <c r="D59" i="9"/>
  <c r="C59" i="9"/>
  <c r="D58" i="9"/>
  <c r="C58" i="9"/>
  <c r="D57" i="9"/>
  <c r="C57" i="9"/>
  <c r="D52" i="9"/>
  <c r="C52" i="9"/>
  <c r="D51" i="9"/>
  <c r="C51" i="9"/>
  <c r="D50" i="9"/>
  <c r="C50" i="9"/>
  <c r="D49" i="9"/>
  <c r="C49" i="9"/>
  <c r="D46" i="9"/>
  <c r="C46" i="9"/>
  <c r="D45" i="9"/>
  <c r="C45" i="9"/>
  <c r="D44" i="9"/>
  <c r="C44" i="9"/>
  <c r="D43" i="9"/>
  <c r="C43" i="9"/>
  <c r="D42" i="9"/>
  <c r="C42" i="9"/>
  <c r="D41" i="9"/>
  <c r="C41" i="9"/>
  <c r="D38" i="9"/>
  <c r="C38" i="9"/>
  <c r="D37" i="9"/>
  <c r="C37" i="9"/>
  <c r="D33" i="9"/>
  <c r="C33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7" i="9"/>
  <c r="C17" i="9"/>
  <c r="D16" i="9"/>
  <c r="C16" i="9"/>
  <c r="D15" i="9"/>
  <c r="C15" i="9"/>
  <c r="D14" i="9"/>
  <c r="C14" i="9"/>
  <c r="D13" i="9"/>
  <c r="C13" i="9"/>
  <c r="D11" i="9"/>
  <c r="C11" i="9"/>
  <c r="D10" i="9"/>
  <c r="C10" i="9"/>
  <c r="D8" i="9"/>
  <c r="C8" i="9"/>
  <c r="D7" i="9"/>
  <c r="C7" i="9"/>
  <c r="D38" i="8"/>
  <c r="C38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4" i="8"/>
  <c r="C24" i="8"/>
  <c r="D23" i="8"/>
  <c r="C23" i="8"/>
  <c r="D20" i="8"/>
  <c r="C20" i="8"/>
  <c r="D19" i="8"/>
  <c r="C19" i="8"/>
  <c r="D16" i="8"/>
  <c r="C16" i="8"/>
  <c r="D15" i="8"/>
  <c r="C15" i="8"/>
  <c r="D14" i="8"/>
  <c r="D5" i="11" s="1"/>
  <c r="C14" i="8"/>
  <c r="C5" i="11" s="1"/>
  <c r="D13" i="8"/>
  <c r="C13" i="8"/>
  <c r="D12" i="8"/>
  <c r="C12" i="8"/>
  <c r="D11" i="8"/>
  <c r="C11" i="8"/>
  <c r="C10" i="8"/>
  <c r="D9" i="8"/>
  <c r="C9" i="8"/>
  <c r="D8" i="8"/>
  <c r="C8" i="8"/>
  <c r="D7" i="8"/>
  <c r="C7" i="8"/>
  <c r="D6" i="8"/>
  <c r="C6" i="8"/>
  <c r="F50" i="7"/>
  <c r="E50" i="7"/>
  <c r="D50" i="7"/>
  <c r="C50" i="7"/>
  <c r="F49" i="7"/>
  <c r="E49" i="7"/>
  <c r="D49" i="7"/>
  <c r="C49" i="7"/>
  <c r="F46" i="7"/>
  <c r="E46" i="7"/>
  <c r="D46" i="7"/>
  <c r="C46" i="7"/>
  <c r="F45" i="7"/>
  <c r="E45" i="7"/>
  <c r="D45" i="7"/>
  <c r="C45" i="7"/>
  <c r="F44" i="7"/>
  <c r="E44" i="7"/>
  <c r="D44" i="7"/>
  <c r="C44" i="7"/>
  <c r="F42" i="7"/>
  <c r="E42" i="7"/>
  <c r="D42" i="7"/>
  <c r="C42" i="7"/>
  <c r="F41" i="7"/>
  <c r="E41" i="7"/>
  <c r="D41" i="7"/>
  <c r="C41" i="7"/>
  <c r="F40" i="7"/>
  <c r="E40" i="7"/>
  <c r="D40" i="7"/>
  <c r="C40" i="7"/>
  <c r="F38" i="7"/>
  <c r="E38" i="7"/>
  <c r="D38" i="7"/>
  <c r="C38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F9" i="7"/>
  <c r="E9" i="7"/>
  <c r="D9" i="7"/>
  <c r="C9" i="7"/>
  <c r="F6" i="7"/>
  <c r="E6" i="7"/>
  <c r="D6" i="7"/>
  <c r="C6" i="7"/>
  <c r="C26" i="11" l="1"/>
  <c r="C28" i="11" s="1"/>
  <c r="D16" i="6"/>
  <c r="G6" i="12" s="1"/>
  <c r="G16" i="12" s="1"/>
  <c r="D48" i="5"/>
  <c r="F47" i="7"/>
  <c r="E47" i="7"/>
  <c r="D47" i="7"/>
  <c r="C47" i="7"/>
  <c r="C37" i="8"/>
  <c r="D25" i="8"/>
  <c r="C25" i="8"/>
  <c r="D21" i="8"/>
  <c r="C21" i="8"/>
  <c r="D17" i="8"/>
  <c r="C17" i="8"/>
  <c r="D17" i="12" l="1"/>
  <c r="G17" i="12"/>
  <c r="C39" i="8"/>
  <c r="C48" i="5"/>
  <c r="C19" i="5"/>
  <c r="C23" i="5" s="1"/>
  <c r="D19" i="5"/>
  <c r="D23" i="5" s="1"/>
  <c r="D37" i="8"/>
  <c r="D39" i="8" s="1"/>
  <c r="C29" i="7"/>
  <c r="C51" i="7" s="1"/>
  <c r="D29" i="7"/>
  <c r="D51" i="7" s="1"/>
  <c r="E29" i="7"/>
  <c r="E51" i="7" s="1"/>
  <c r="F29" i="7"/>
  <c r="F51" i="7" s="1"/>
  <c r="C32" i="9"/>
  <c r="C65" i="9"/>
  <c r="D32" i="9"/>
  <c r="D65" i="9"/>
  <c r="C16" i="6"/>
  <c r="F6" i="12" s="1"/>
  <c r="F16" i="12" s="1"/>
  <c r="C12" i="5"/>
  <c r="C30" i="5" s="1"/>
  <c r="C34" i="5" s="1"/>
  <c r="C40" i="5" s="1"/>
  <c r="C45" i="5" s="1"/>
  <c r="D12" i="5"/>
  <c r="C9" i="9"/>
  <c r="C12" i="9" s="1"/>
  <c r="C18" i="9" s="1"/>
  <c r="C39" i="9"/>
  <c r="C47" i="9"/>
  <c r="C53" i="9"/>
  <c r="C60" i="9"/>
  <c r="D9" i="9"/>
  <c r="D12" i="9" s="1"/>
  <c r="D18" i="9" s="1"/>
  <c r="D39" i="9"/>
  <c r="D47" i="9"/>
  <c r="D53" i="9"/>
  <c r="D60" i="9"/>
  <c r="C17" i="12" l="1"/>
  <c r="F17" i="12"/>
  <c r="D34" i="9"/>
  <c r="D55" i="9" s="1"/>
  <c r="D7" i="11"/>
  <c r="D10" i="11" s="1"/>
  <c r="D15" i="11" s="1"/>
  <c r="D29" i="11" s="1"/>
  <c r="D34" i="11" s="1"/>
  <c r="C34" i="9"/>
  <c r="C7" i="11"/>
  <c r="C10" i="11" s="1"/>
  <c r="C15" i="11" s="1"/>
  <c r="C29" i="11" s="1"/>
  <c r="C34" i="11" s="1"/>
  <c r="C66" i="9"/>
  <c r="D66" i="9"/>
  <c r="C51" i="5"/>
  <c r="C52" i="5" s="1"/>
  <c r="C55" i="9"/>
  <c r="C69" i="9" s="1"/>
  <c r="C70" i="9" s="1"/>
  <c r="C71" i="9" s="1"/>
  <c r="C35" i="9"/>
  <c r="D35" i="9"/>
  <c r="C54" i="9"/>
  <c r="D30" i="5"/>
  <c r="D34" i="5" s="1"/>
  <c r="D40" i="5" s="1"/>
  <c r="D45" i="5" s="1"/>
  <c r="D51" i="5" s="1"/>
  <c r="D52" i="5" s="1"/>
  <c r="D54" i="9"/>
  <c r="N2" i="1"/>
  <c r="M2" i="1"/>
  <c r="K2" i="1"/>
  <c r="I1" i="1"/>
  <c r="E2" i="1"/>
  <c r="F2" i="1"/>
  <c r="G4" i="10" s="1"/>
  <c r="C2" i="1"/>
  <c r="F4" i="10" s="1"/>
  <c r="B2" i="1"/>
  <c r="K1" i="1"/>
  <c r="G1" i="1"/>
  <c r="E1" i="1"/>
  <c r="C1" i="1"/>
  <c r="B1" i="1"/>
  <c r="G5" i="12" l="1"/>
  <c r="D5" i="12"/>
  <c r="D1" i="13"/>
  <c r="E1" i="12"/>
  <c r="B1" i="13"/>
  <c r="B1" i="12"/>
  <c r="F5" i="12"/>
  <c r="C5" i="12"/>
  <c r="B1" i="5"/>
  <c r="B1" i="11"/>
  <c r="B1" i="10"/>
  <c r="C1" i="11"/>
  <c r="C1" i="10"/>
  <c r="B3" i="10"/>
  <c r="B3" i="11"/>
  <c r="D3" i="11"/>
  <c r="D4" i="10"/>
  <c r="C3" i="11"/>
  <c r="C4" i="10"/>
  <c r="D69" i="9"/>
  <c r="D70" i="9" s="1"/>
  <c r="D71" i="9" s="1"/>
  <c r="F4" i="7"/>
  <c r="D4" i="8"/>
  <c r="D4" i="9"/>
  <c r="D4" i="5"/>
  <c r="D4" i="6"/>
  <c r="B1" i="7"/>
  <c r="B1" i="8"/>
  <c r="B1" i="9"/>
  <c r="B1" i="6"/>
  <c r="C4" i="7"/>
  <c r="C4" i="8"/>
  <c r="C4" i="9"/>
  <c r="C4" i="5"/>
  <c r="C4" i="6"/>
  <c r="C1" i="7"/>
  <c r="C1" i="8"/>
  <c r="C1" i="9"/>
  <c r="C1" i="5"/>
  <c r="C1" i="6"/>
  <c r="B3" i="9"/>
  <c r="B3" i="8"/>
  <c r="B3" i="7"/>
  <c r="B16" i="6"/>
  <c r="B3" i="6"/>
  <c r="B52" i="5"/>
  <c r="B3" i="5"/>
  <c r="C2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B87C1181-A7C5-40CF-B1A3-53552B9FB49E}">
      <text>
        <r>
          <rPr>
            <b/>
            <sz val="9"/>
            <color indexed="81"/>
            <rFont val="Tahoma"/>
            <charset val="1"/>
          </rPr>
          <t>H3_01 - D1.018 - LRO - Ajout Periode 3 + onglets BFR et TFT
I3_01  - D1.019 - PR   - Modif onglet Bilan Actif - Frais d'émission..
J1_01  - D1.020 - YAD - Ajout de 2 onglets pour les tableaux de financement</t>
        </r>
      </text>
    </comment>
  </commentList>
</comments>
</file>

<file path=xl/sharedStrings.xml><?xml version="1.0" encoding="utf-8"?>
<sst xmlns="http://schemas.openxmlformats.org/spreadsheetml/2006/main" count="13722" uniqueCount="1107">
  <si>
    <t>ACTIF CIRCULANT</t>
  </si>
  <si>
    <t>Plan/Compte</t>
  </si>
  <si>
    <t>Produits / cessions d'actifs immobilisés</t>
  </si>
  <si>
    <t>Valeurs comptables des actifs cédés</t>
  </si>
  <si>
    <t>Ventes marchandises</t>
  </si>
  <si>
    <t>Achats marchandises</t>
  </si>
  <si>
    <t>Frais accessoires achats de marchandises</t>
  </si>
  <si>
    <t>RRR sur achats</t>
  </si>
  <si>
    <t>Marge commerciale</t>
  </si>
  <si>
    <t>Ventes de produits</t>
  </si>
  <si>
    <t>Travaux</t>
  </si>
  <si>
    <t>Etudes</t>
  </si>
  <si>
    <t>Prestations de services</t>
  </si>
  <si>
    <t>Produits activités annexes</t>
  </si>
  <si>
    <t>RRR Accordés</t>
  </si>
  <si>
    <t>Production vendue</t>
  </si>
  <si>
    <t>Variation production stockée</t>
  </si>
  <si>
    <t>Production immobilisée</t>
  </si>
  <si>
    <t>Produits partiels/opérations long terme</t>
  </si>
  <si>
    <t>Production de l'exercice</t>
  </si>
  <si>
    <t>Achats d'approvisionnement</t>
  </si>
  <si>
    <t>Variation stocks d'approvisionnement</t>
  </si>
  <si>
    <t>RRR sur achats approvisionnement</t>
  </si>
  <si>
    <t>Autres charges externes</t>
  </si>
  <si>
    <t>RRR sur services externes</t>
  </si>
  <si>
    <t>Valeur ajoutée brute produite</t>
  </si>
  <si>
    <t>Impôts, taxes et versements assimilés</t>
  </si>
  <si>
    <t>Charges de personnel</t>
  </si>
  <si>
    <t>Excédent brut d'exploitation</t>
  </si>
  <si>
    <t>Autres produits de gestion courante</t>
  </si>
  <si>
    <t>Autres charges de gestion courante</t>
  </si>
  <si>
    <t>Transfert de charges d'exploitation</t>
  </si>
  <si>
    <t>Résultat d'exploitation</t>
  </si>
  <si>
    <t>Quotes parts résultat/opérations commun</t>
  </si>
  <si>
    <t>Produits financiers</t>
  </si>
  <si>
    <t>Charges financières</t>
  </si>
  <si>
    <t>Résultat courant</t>
  </si>
  <si>
    <t>Produits exceptionnels</t>
  </si>
  <si>
    <t>Charges exceptionnelles</t>
  </si>
  <si>
    <t>Résultat exceptionnel</t>
  </si>
  <si>
    <t>Participation des salariés</t>
  </si>
  <si>
    <t>Impôts sur les bénéfices</t>
  </si>
  <si>
    <t>Résultat net comptable</t>
  </si>
  <si>
    <t>Variation de stocks de marchandise</t>
  </si>
  <si>
    <t>Subventions d'exploitation</t>
  </si>
  <si>
    <t>S.I.G.</t>
  </si>
  <si>
    <t>C.A.F.</t>
  </si>
  <si>
    <t>Autres produits d'exploitation</t>
  </si>
  <si>
    <t>Autres charges d'exploitation</t>
  </si>
  <si>
    <t>Participation des salariés aux résultats</t>
  </si>
  <si>
    <t>BILAN ACTIF</t>
  </si>
  <si>
    <t>Brut</t>
  </si>
  <si>
    <t>A déduire</t>
  </si>
  <si>
    <t>Net</t>
  </si>
  <si>
    <t>Capital souscrit non appelé</t>
  </si>
  <si>
    <t>Actif immobilisé (Total II)</t>
  </si>
  <si>
    <t>Immobilisations incorporelles</t>
  </si>
  <si>
    <t>Concessions, brevets</t>
  </si>
  <si>
    <t>Fonds commercial</t>
  </si>
  <si>
    <t>Autres immobilisations incorporelles</t>
  </si>
  <si>
    <t>Immobilisations corporelles</t>
  </si>
  <si>
    <t>Terrains</t>
  </si>
  <si>
    <t>Constructions</t>
  </si>
  <si>
    <t>Autres immobilisations corporelles</t>
  </si>
  <si>
    <t>Immobilisations en cours</t>
  </si>
  <si>
    <t>Avances et acomptes</t>
  </si>
  <si>
    <t>Immobilisations financières</t>
  </si>
  <si>
    <t>Autres participations</t>
  </si>
  <si>
    <t>Stocks</t>
  </si>
  <si>
    <t>En cours de production de biens</t>
  </si>
  <si>
    <t>En cours de production de services</t>
  </si>
  <si>
    <t>Marchandises</t>
  </si>
  <si>
    <t>Créances</t>
  </si>
  <si>
    <t>Divers</t>
  </si>
  <si>
    <t>Primes de remboursement des obligations</t>
  </si>
  <si>
    <t>BILAN PASSIF</t>
  </si>
  <si>
    <t>Capital social</t>
  </si>
  <si>
    <t>Report a nouveau</t>
  </si>
  <si>
    <t>Provisions pour risques</t>
  </si>
  <si>
    <t>Provisions pour charges</t>
  </si>
  <si>
    <t>Emprunts obligataires convertibles</t>
  </si>
  <si>
    <t>Autres emprunts obligataires</t>
  </si>
  <si>
    <t>Autres dettes</t>
  </si>
  <si>
    <t>Réserves statutaires ou contractuelles</t>
  </si>
  <si>
    <t>Réserves règlementées</t>
  </si>
  <si>
    <t>Autres réserves</t>
  </si>
  <si>
    <t>Résultat de l'exercice</t>
  </si>
  <si>
    <t>Subventions d'investissement</t>
  </si>
  <si>
    <t>Provisions règlementées</t>
  </si>
  <si>
    <t>Avances conditionnées</t>
  </si>
  <si>
    <t>Compte de résultat</t>
  </si>
  <si>
    <t>Total des produits d'exploitation (I)</t>
  </si>
  <si>
    <t>Ventes de marchandises France</t>
  </si>
  <si>
    <t>Production vendue biens</t>
  </si>
  <si>
    <t>Production vendue services</t>
  </si>
  <si>
    <t>Chiffres d'affaires nets</t>
  </si>
  <si>
    <t>Autres produits</t>
  </si>
  <si>
    <t>Total des charges d'exploitation</t>
  </si>
  <si>
    <t>Achats de marchandises</t>
  </si>
  <si>
    <t>Charges sociales</t>
  </si>
  <si>
    <t>Dotations d'exploitation</t>
  </si>
  <si>
    <t>Dotations aux amortissements</t>
  </si>
  <si>
    <t>Autres charges</t>
  </si>
  <si>
    <t>Resultat d'exploitation (II)</t>
  </si>
  <si>
    <t>Opération en commun</t>
  </si>
  <si>
    <t>Total des produits financiers (V)</t>
  </si>
  <si>
    <t>Produits financiers de participations</t>
  </si>
  <si>
    <t>Total des charges financieres (VI)</t>
  </si>
  <si>
    <t>Total des produits exceptionnels</t>
  </si>
  <si>
    <t>TOTAL GÉNÉRAL</t>
  </si>
  <si>
    <t>Frais d'établissement</t>
  </si>
  <si>
    <t>Frais de recherche et de developpement</t>
  </si>
  <si>
    <t>Avances et acomptes sur immobilisations incorporelles</t>
  </si>
  <si>
    <t>Installations techniques, matériel et outillage industriels</t>
  </si>
  <si>
    <t>Participations évaluées selon la méthode de mise en équivalence</t>
  </si>
  <si>
    <t>Créances rattachées à des participations</t>
  </si>
  <si>
    <t>Autres titres immobilisés</t>
  </si>
  <si>
    <t>Prêts</t>
  </si>
  <si>
    <t>Autres immobilisations financières</t>
  </si>
  <si>
    <t>Actif circulant (Total III)</t>
  </si>
  <si>
    <t>Matières premières, approvisionnements</t>
  </si>
  <si>
    <t>Produits intermédiaires et finis</t>
  </si>
  <si>
    <t>Avances et acomptes versés sur commandes</t>
  </si>
  <si>
    <t>Clients et comptes rattachés</t>
  </si>
  <si>
    <t>Autres créances</t>
  </si>
  <si>
    <t>Capital souscrit et appelé, non versé</t>
  </si>
  <si>
    <t>Valeurs mobilières de placement</t>
  </si>
  <si>
    <t>Disponibilités</t>
  </si>
  <si>
    <t>Charges constatées d'avance</t>
  </si>
  <si>
    <t>Ecarts de conversion actif</t>
  </si>
  <si>
    <t>Capitaux propres (Total I)</t>
  </si>
  <si>
    <t>Autres fonds propres (Total II)</t>
  </si>
  <si>
    <t>Provisions pour risques (Total III)</t>
  </si>
  <si>
    <t>(Total IV)</t>
  </si>
  <si>
    <t>Primes d'émission, de fusion, d'apport</t>
  </si>
  <si>
    <t>Ecarts de réévaluation</t>
  </si>
  <si>
    <t>Réserve légale</t>
  </si>
  <si>
    <t>Produit des émissions de titres participatifs</t>
  </si>
  <si>
    <t>Emprunts et dettes auprès des établissements de crédit</t>
  </si>
  <si>
    <t>Emprunts et dettes financières divers</t>
  </si>
  <si>
    <t>Avances et acomptes reçus sur commandes en cours</t>
  </si>
  <si>
    <t>Dettes fournisseurs et comptes rattachés</t>
  </si>
  <si>
    <t>Dettes fiscales et sociales</t>
  </si>
  <si>
    <t>Dettes sur immobilisations et comptes rattachés</t>
  </si>
  <si>
    <t>Produits constatés d’avance</t>
  </si>
  <si>
    <t>Ecarts de conversion passif</t>
  </si>
  <si>
    <t>Ventes de marchandises Exportation</t>
  </si>
  <si>
    <t>Production stockée</t>
  </si>
  <si>
    <t>Reprises sur amortissements et provisions, transferts de charges</t>
  </si>
  <si>
    <t>Variation de stock</t>
  </si>
  <si>
    <t>Achats de matières premières et autres approvisionnements</t>
  </si>
  <si>
    <t>Autres achats et charges externes</t>
  </si>
  <si>
    <t>Salaires et traitements</t>
  </si>
  <si>
    <t>Dotations aux provisions sur immobilisation</t>
  </si>
  <si>
    <t>Dotations aux provisions sur actif circulant</t>
  </si>
  <si>
    <t>Dotations aux provisions pour risques et charges</t>
  </si>
  <si>
    <t>Bénéfice attribué ou perte transférée (III)</t>
  </si>
  <si>
    <t>Perte supportée ou bénéfice transféré (IV)</t>
  </si>
  <si>
    <t>Produits des autres valeurs mobilières et créances de l’actif immobilisé</t>
  </si>
  <si>
    <t>Autres intérêts et produits assimilés</t>
  </si>
  <si>
    <t>Reprises sur provisions et transferts de charges</t>
  </si>
  <si>
    <t>Différences positives de change</t>
  </si>
  <si>
    <t>Produits nets sur cessions de valeurs mobilières de placement</t>
  </si>
  <si>
    <t>Dotations financières aux amortissements et provisions</t>
  </si>
  <si>
    <t>Intérêts et charges assimilées</t>
  </si>
  <si>
    <t>Différences négatives de change</t>
  </si>
  <si>
    <t>Charges nettes sur cessions de valeurs mobilières de placement</t>
  </si>
  <si>
    <t>Résultat financier (V-VI)</t>
  </si>
  <si>
    <t>Résultat avant impôts (I-II+III-IV+V-VI)</t>
  </si>
  <si>
    <t>Produits exceptionnels sur opérations de gestion</t>
  </si>
  <si>
    <t>Total des charges exceptionnelles (VIII)</t>
  </si>
  <si>
    <t>Charges exceptionnelles sur les opérations de gestion</t>
  </si>
  <si>
    <t>Charges exceptionnelles sur les opérations en capital</t>
  </si>
  <si>
    <t>Dotation exceptionnelle sur les amortissements et provisions</t>
  </si>
  <si>
    <t>Résultat exceptionnel (VII-VIII)</t>
  </si>
  <si>
    <t>Participation des salariés (IX)</t>
  </si>
  <si>
    <t>Impôts sur les bénéfices (X)</t>
  </si>
  <si>
    <t>Bénéfice ou perte</t>
  </si>
  <si>
    <t>Plan 1</t>
  </si>
  <si>
    <t>Intitulé</t>
  </si>
  <si>
    <t>Plan 2</t>
  </si>
  <si>
    <t>Plan 3</t>
  </si>
  <si>
    <t>Plan 4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</si>
  <si>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</si>
  <si>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</si>
  <si>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</si>
  <si>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</si>
  <si>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</si>
  <si>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</si>
  <si>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</si>
  <si>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</si>
  <si>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>Plan 13</t>
  </si>
  <si>
    <t>Plan 14</t>
  </si>
  <si>
    <t>Plan 15</t>
  </si>
  <si>
    <t>Plan 16</t>
  </si>
  <si>
    <t>Compte</t>
  </si>
  <si>
    <t>Type de mouvement</t>
  </si>
  <si>
    <t>Plan</t>
  </si>
  <si>
    <t>Montant brut période 1</t>
  </si>
  <si>
    <t>Montant à déduire période 1</t>
  </si>
  <si>
    <t>Montant net période 1</t>
  </si>
  <si>
    <t>Montant brut période 2</t>
  </si>
  <si>
    <t>Montant à déduire période 2</t>
  </si>
  <si>
    <t>Montant net période 2</t>
  </si>
  <si>
    <t>Montant colonne calculée</t>
  </si>
  <si>
    <t>Etablissement</t>
  </si>
  <si>
    <t>Adresse 1</t>
  </si>
  <si>
    <t>Code Postal</t>
  </si>
  <si>
    <t>Ville</t>
  </si>
  <si>
    <t>SIRET</t>
  </si>
  <si>
    <t>Début période 1</t>
  </si>
  <si>
    <t>Fin période 1</t>
  </si>
  <si>
    <t>Début période 2</t>
  </si>
  <si>
    <t>Fin période 2</t>
  </si>
  <si>
    <t>Date de clôture</t>
  </si>
  <si>
    <t>Date de début d'exercice</t>
  </si>
  <si>
    <t>Date de fin d'exercice</t>
  </si>
  <si>
    <t>Etablissement :</t>
  </si>
  <si>
    <t>Adresse 1 :</t>
  </si>
  <si>
    <t>Code Postal :</t>
  </si>
  <si>
    <t>Ville :</t>
  </si>
  <si>
    <t>SIRET :</t>
  </si>
  <si>
    <t>Période 1 :</t>
  </si>
  <si>
    <t>Période 2 :</t>
  </si>
  <si>
    <t>Date de clôture :</t>
  </si>
  <si>
    <t>Exercice :</t>
  </si>
  <si>
    <t>Montant brut période 3</t>
  </si>
  <si>
    <t>Montant à déduire période 3</t>
  </si>
  <si>
    <t>Montant net période 3</t>
  </si>
  <si>
    <t>Début période 3</t>
  </si>
  <si>
    <t>Fin période 3</t>
  </si>
  <si>
    <t>Période 3 :</t>
  </si>
  <si>
    <t>BFR</t>
  </si>
  <si>
    <t>Créances Clients</t>
  </si>
  <si>
    <t>Comptes courants intégration fiscale</t>
  </si>
  <si>
    <t>Avances et acomptes versés</t>
  </si>
  <si>
    <t>Dettes fournisseurs</t>
  </si>
  <si>
    <t>Dettes sur immobilisations</t>
  </si>
  <si>
    <t>Produits constatés d'avance</t>
  </si>
  <si>
    <t>Avances et acomptes sur commandes en cours</t>
  </si>
  <si>
    <t>PASSIF D'EXPLOITATION</t>
  </si>
  <si>
    <t>TOTAL</t>
  </si>
  <si>
    <t>TFT</t>
  </si>
  <si>
    <t>Flux de trésorerie liés à l’activité</t>
  </si>
  <si>
    <t>Résultat net</t>
  </si>
  <si>
    <t xml:space="preserve">Élimination des charges et produits sans incidence sur la trésorerie ou non liés à l’activité </t>
  </si>
  <si>
    <t>Variation du BFR liée à l’activité</t>
  </si>
  <si>
    <t>Flux nets de trésorerie générés par l’activité</t>
  </si>
  <si>
    <t>Flux de trésorerie liés aux opérations d’investissements</t>
  </si>
  <si>
    <t>Effets des décaissements liés aux acquisitions d’immobilisations</t>
  </si>
  <si>
    <t>Effets des décaissements liés aux acquisitions d’immobilisations financières</t>
  </si>
  <si>
    <t>Cessions d’immobilisations</t>
  </si>
  <si>
    <t xml:space="preserve">Autres flux liés aux opérations d’investissements </t>
  </si>
  <si>
    <t>Flux nets de trésorerie liés aux opérations d’investissements</t>
  </si>
  <si>
    <t>Flux de trésorerie liés aux opérations de financement</t>
  </si>
  <si>
    <t>Versement de dividendes</t>
  </si>
  <si>
    <t>Flux nets de trésorerie liés aux opérations de financement</t>
  </si>
  <si>
    <t>VARIATION DE TRESORERIE NETTE</t>
  </si>
  <si>
    <t>Trésorerie nette d’ouverture</t>
  </si>
  <si>
    <t>Trésorerie nette de clôture</t>
  </si>
  <si>
    <t>Variation de trésorerie nette</t>
  </si>
  <si>
    <t xml:space="preserve">Amortissements et provisions </t>
  </si>
  <si>
    <t>Autres variations</t>
  </si>
  <si>
    <t>Variation de l’actif circulant</t>
  </si>
  <si>
    <t>Variation compte courant intégration fiscale</t>
  </si>
  <si>
    <t>Variation des dettes d’exploitation</t>
  </si>
  <si>
    <t>Produits exceptionnels sur opérations en capital</t>
  </si>
  <si>
    <t>Reprises sur provisions transfert de charges</t>
  </si>
  <si>
    <t>Frais accessoires d'achats d'approvisionnement</t>
  </si>
  <si>
    <t>Reprise sur amortissement et provision d'exploitation</t>
  </si>
  <si>
    <t>Dotations amortissements et provision d'exploitation</t>
  </si>
  <si>
    <t>Plus et moins values de cessions</t>
  </si>
  <si>
    <t>Remboursements d'emprunts</t>
  </si>
  <si>
    <t>Emissions d'emprunts</t>
  </si>
  <si>
    <t>Augmentation/Diminution de capital</t>
  </si>
  <si>
    <t>Contrôle</t>
  </si>
  <si>
    <t>Ecart conversion actif et autres</t>
  </si>
  <si>
    <t>Ecart de conversion passif</t>
  </si>
  <si>
    <t>à retraiter</t>
  </si>
  <si>
    <t>à renseigner</t>
  </si>
  <si>
    <t>Marge brute d'autofinancement</t>
  </si>
  <si>
    <t>Frais d'émission d'emprunt à étaler</t>
  </si>
  <si>
    <t>Emplois</t>
  </si>
  <si>
    <t>Acquisitions d'éléments de l'actif immobilisé:</t>
  </si>
  <si>
    <t>Charges à répartir sur plusieurs exercices (a)</t>
  </si>
  <si>
    <t>Réduction des capitaux propres (réduction de capital, retraits)</t>
  </si>
  <si>
    <t>Remboursements de dettes financières (b)</t>
  </si>
  <si>
    <t>I. Tableau de financement en compte</t>
  </si>
  <si>
    <t>Ressources</t>
  </si>
  <si>
    <t>Capacité d'autofinancement de l'exercice</t>
  </si>
  <si>
    <t>Cessions ou réductions d'éléments de l'actif immobilisé :</t>
  </si>
  <si>
    <t>Cessions d'immobilisations :</t>
  </si>
  <si>
    <t>- incorporelles</t>
  </si>
  <si>
    <t>- corporelles</t>
  </si>
  <si>
    <t>Augmentation de capital ou apports</t>
  </si>
  <si>
    <t>Augmentation des autres capitaux propres</t>
  </si>
  <si>
    <t>Augmentation des dettes financières (b)(c)</t>
  </si>
  <si>
    <t>Total des emplois</t>
  </si>
  <si>
    <t>Total des ressources</t>
  </si>
  <si>
    <t>Variation du fonds de roulement net global (ressource nette)</t>
  </si>
  <si>
    <t>Variation du fonds de roulement net global (emploi nette)</t>
  </si>
  <si>
    <t>Distributions mises en paiement au cours de l'exercice</t>
  </si>
  <si>
    <t>(a) Montant brut transféré au cours de l'exercice</t>
  </si>
  <si>
    <t>(b) Sauf concours bancaires courants et soldes créditeurs de banques</t>
  </si>
  <si>
    <t>(c) Hors primes de remboursement des obligations</t>
  </si>
  <si>
    <t>Augmentation des capitaux propres :</t>
  </si>
  <si>
    <t>Cessions ou réductions d'immobilisations financières</t>
  </si>
  <si>
    <t>Variation du fonds de roulement net global</t>
  </si>
  <si>
    <t>Exercice N</t>
  </si>
  <si>
    <t>Exercice N-1</t>
  </si>
  <si>
    <t>Besoin</t>
  </si>
  <si>
    <t>Dégagement</t>
  </si>
  <si>
    <t>Solde</t>
  </si>
  <si>
    <t>2-1</t>
  </si>
  <si>
    <t>Variation "Exploitation" :</t>
  </si>
  <si>
    <t>Variation des actifs d'exploitation :</t>
  </si>
  <si>
    <t>Stock et en-cours</t>
  </si>
  <si>
    <t>Créances Clients, Comptes rattachés et autres créances d'exploitation (a)</t>
  </si>
  <si>
    <t>Variation de dettes d'exploitation :</t>
  </si>
  <si>
    <t>Dettes Fournisseurs, Comptes rattachés et autres dettes d'exploitation (b)</t>
  </si>
  <si>
    <t>Totaux</t>
  </si>
  <si>
    <t>Variation "Hors exploitation" :</t>
  </si>
  <si>
    <t>Variation des autres débiteurs (a)(d)</t>
  </si>
  <si>
    <t>Varaiation des autres créditeurs (b)</t>
  </si>
  <si>
    <t>A. Variation nette Exploitation (c)</t>
  </si>
  <si>
    <t>B. Variation nette "Hors exploitation" (c)</t>
  </si>
  <si>
    <t>Total A+B :</t>
  </si>
  <si>
    <t>Besoins de l'exercice en fonds de roulement</t>
  </si>
  <si>
    <t>ou
Dégagement net de fonds de roulement dans l'exercice</t>
  </si>
  <si>
    <t>Variation "Trésorerie" :</t>
  </si>
  <si>
    <t>Variation des disponibilités</t>
  </si>
  <si>
    <t>Variation des concours bancaires courants et soldes créditeurs de banques</t>
  </si>
  <si>
    <t>C. Variation nette "Trésorerie" (c)</t>
  </si>
  <si>
    <t>VARIATION DU FONDS DE ROULEMENT NET GLOBAL
(TOTAL A + B + C) :</t>
  </si>
  <si>
    <t>Emploi net</t>
  </si>
  <si>
    <t>ou
Ressource nette</t>
  </si>
  <si>
    <r>
      <t>Nota</t>
    </r>
    <r>
      <rPr>
        <sz val="8"/>
        <rFont val="Arial"/>
        <family val="2"/>
      </rPr>
      <t>. - Cette partie II du tableau peut être adaptée au système de base.</t>
    </r>
  </si>
  <si>
    <t>Dans ce cas, les variations portent sur l'ensemble des éléments; aucune distinction n'est faite entre exploitation et hors exploitation.</t>
  </si>
  <si>
    <t>(a) Y compris charges constatées d'avance selon leur affectation à l'exploitation ou non.</t>
  </si>
  <si>
    <t>(b) Y compris produits constatés d'avance selon leur affectation à l'exploitation ou non.</t>
  </si>
  <si>
    <t>(c) Les montants sont assortis du signe (+) lorsque les dégagements l'emportent sur les besoins et du signe (-) dans le cas contraire.</t>
  </si>
  <si>
    <t>(d) Y compris valeurs mobilières de placement.</t>
  </si>
  <si>
    <t>II. Tableau de financement en compte</t>
  </si>
  <si>
    <t>PLGEN</t>
  </si>
  <si>
    <t>Plan général</t>
  </si>
  <si>
    <t>PLBILAN</t>
  </si>
  <si>
    <t>BILAN</t>
  </si>
  <si>
    <t>BACO</t>
  </si>
  <si>
    <t>BABJ</t>
  </si>
  <si>
    <t>BABJ1</t>
  </si>
  <si>
    <t>BAAF</t>
  </si>
  <si>
    <t>205000</t>
  </si>
  <si>
    <t>Depot marq. QUALIAC</t>
  </si>
  <si>
    <t>C</t>
  </si>
  <si>
    <t>PB</t>
  </si>
  <si>
    <t>QUALIAC</t>
  </si>
  <si>
    <t>Parc d'Activité de tronquière</t>
  </si>
  <si>
    <t>15000</t>
  </si>
  <si>
    <t>AURILLAC</t>
  </si>
  <si>
    <t>12345678912345</t>
  </si>
  <si>
    <t>01/01/2013</t>
  </si>
  <si>
    <t>31/12/2013</t>
  </si>
  <si>
    <t>01/01/2012</t>
  </si>
  <si>
    <t>31/12/2012</t>
  </si>
  <si>
    <t>01/01/2011</t>
  </si>
  <si>
    <t>31/12/2011</t>
  </si>
  <si>
    <t>31/12/2016</t>
  </si>
  <si>
    <t>01/01/2014</t>
  </si>
  <si>
    <t>31/12/2014</t>
  </si>
  <si>
    <t>280500</t>
  </si>
  <si>
    <t>Amort. Depot QUALIAC</t>
  </si>
  <si>
    <t>BABJ2</t>
  </si>
  <si>
    <t>BAAT</t>
  </si>
  <si>
    <t>218100</t>
  </si>
  <si>
    <t>Immob agent.amenag.</t>
  </si>
  <si>
    <t>218200</t>
  </si>
  <si>
    <t>Immob mat transport</t>
  </si>
  <si>
    <t>218300</t>
  </si>
  <si>
    <t>Immob mat. informat.</t>
  </si>
  <si>
    <t>218400</t>
  </si>
  <si>
    <t>Immo.mob.mat.bureau</t>
  </si>
  <si>
    <t>281810</t>
  </si>
  <si>
    <t>Amort. Ag. Amen. Div</t>
  </si>
  <si>
    <t>281820</t>
  </si>
  <si>
    <t>Amort. Mat. Transp.</t>
  </si>
  <si>
    <t>281830</t>
  </si>
  <si>
    <t>Amort. Mat. Infor.</t>
  </si>
  <si>
    <t>281840</t>
  </si>
  <si>
    <t>Amort. mob. bureau</t>
  </si>
  <si>
    <t>BABJ3</t>
  </si>
  <si>
    <t>BABH</t>
  </si>
  <si>
    <t>Autres immobilisations financieres</t>
  </si>
  <si>
    <t>275110</t>
  </si>
  <si>
    <t>Depot Garantie JEFF</t>
  </si>
  <si>
    <t>275112</t>
  </si>
  <si>
    <t>Depot Garanti.SEBA15</t>
  </si>
  <si>
    <t>275114</t>
  </si>
  <si>
    <t>Depot Garantie Poste</t>
  </si>
  <si>
    <t>275116</t>
  </si>
  <si>
    <t>Depot Garantie  PRES</t>
  </si>
  <si>
    <t>275117</t>
  </si>
  <si>
    <t>Dépôt Garantie REGUS</t>
  </si>
  <si>
    <t>275118</t>
  </si>
  <si>
    <t>Depot Garantie SAPN</t>
  </si>
  <si>
    <t>BACJ</t>
  </si>
  <si>
    <t>Actif circulant TOTAL III</t>
  </si>
  <si>
    <t>BACJ1</t>
  </si>
  <si>
    <t>BABP</t>
  </si>
  <si>
    <t>345100</t>
  </si>
  <si>
    <t>Etudes en Cours</t>
  </si>
  <si>
    <t>BABT</t>
  </si>
  <si>
    <t>371000</t>
  </si>
  <si>
    <t>Stock Marchandise</t>
  </si>
  <si>
    <t>397100</t>
  </si>
  <si>
    <t>Depreciation Stock</t>
  </si>
  <si>
    <t>BACJ2</t>
  </si>
  <si>
    <t>BABX</t>
  </si>
  <si>
    <t>Clients et comptes rattaches</t>
  </si>
  <si>
    <t>411162</t>
  </si>
  <si>
    <t>Clts Serv. TVA exo.</t>
  </si>
  <si>
    <t>411166</t>
  </si>
  <si>
    <t>Clients Serv. 19.6 %</t>
  </si>
  <si>
    <t>411170</t>
  </si>
  <si>
    <t>Clients Materiel</t>
  </si>
  <si>
    <t>411760</t>
  </si>
  <si>
    <t>Clts Serv. Ret. Gar.</t>
  </si>
  <si>
    <t>416000</t>
  </si>
  <si>
    <t>Clients Douteux</t>
  </si>
  <si>
    <t>418100</t>
  </si>
  <si>
    <t>Clts Fact. a Etabl.</t>
  </si>
  <si>
    <t>491000</t>
  </si>
  <si>
    <t>prov.deprec.clients</t>
  </si>
  <si>
    <t>BABZ</t>
  </si>
  <si>
    <t>Autres creances</t>
  </si>
  <si>
    <t>409800</t>
  </si>
  <si>
    <t>Avoirs a recevoir</t>
  </si>
  <si>
    <t>421101</t>
  </si>
  <si>
    <t>Remunerations salar.</t>
  </si>
  <si>
    <t>421102</t>
  </si>
  <si>
    <t>Regul Commission</t>
  </si>
  <si>
    <t>425000</t>
  </si>
  <si>
    <t>Avances sur frais</t>
  </si>
  <si>
    <t>437500</t>
  </si>
  <si>
    <t>Ticket Restaurant</t>
  </si>
  <si>
    <t>445660</t>
  </si>
  <si>
    <t>TVA deduc. biens sev</t>
  </si>
  <si>
    <t>445860</t>
  </si>
  <si>
    <t>TVA /fact.non parv.</t>
  </si>
  <si>
    <t>445870</t>
  </si>
  <si>
    <t>TVA /fact. a etablir</t>
  </si>
  <si>
    <t>455600</t>
  </si>
  <si>
    <t>Créance ou dette</t>
  </si>
  <si>
    <t>462000</t>
  </si>
  <si>
    <t>Creance Cess. Immob.</t>
  </si>
  <si>
    <t>467000</t>
  </si>
  <si>
    <t>Deb. Cred. Divers</t>
  </si>
  <si>
    <t>496000</t>
  </si>
  <si>
    <t>prov.deprec.cptes de</t>
  </si>
  <si>
    <t>BACJ3</t>
  </si>
  <si>
    <t>BACD</t>
  </si>
  <si>
    <t>Valeurs mobilieres de placement</t>
  </si>
  <si>
    <t>508100</t>
  </si>
  <si>
    <t>Autres Valeurs Mob.</t>
  </si>
  <si>
    <t>BACF</t>
  </si>
  <si>
    <t>Disponibilites</t>
  </si>
  <si>
    <t>511210</t>
  </si>
  <si>
    <t>Effets à encais. SG</t>
  </si>
  <si>
    <t>512100</t>
  </si>
  <si>
    <t>B.N.P.</t>
  </si>
  <si>
    <t>512200</t>
  </si>
  <si>
    <t>Societe Generale</t>
  </si>
  <si>
    <t>512220</t>
  </si>
  <si>
    <t>Ste Generale Devises</t>
  </si>
  <si>
    <t>512400</t>
  </si>
  <si>
    <t>BCME</t>
  </si>
  <si>
    <t>512500</t>
  </si>
  <si>
    <t>Crédit Agricole</t>
  </si>
  <si>
    <t>530000</t>
  </si>
  <si>
    <t>Caisse</t>
  </si>
  <si>
    <t>BACH</t>
  </si>
  <si>
    <t>Charges constatees d avance</t>
  </si>
  <si>
    <t>486000</t>
  </si>
  <si>
    <t>Charg.Const.d'Avanc.</t>
  </si>
  <si>
    <t>BACN</t>
  </si>
  <si>
    <t>Ecart de conversion actif</t>
  </si>
  <si>
    <t>476100</t>
  </si>
  <si>
    <t>Diff.Con.Act.dim.cr.</t>
  </si>
  <si>
    <t>BPEE</t>
  </si>
  <si>
    <t>BPDL</t>
  </si>
  <si>
    <t>Capitaux propres TOTAL (I)</t>
  </si>
  <si>
    <t>BPDA</t>
  </si>
  <si>
    <t>101000</t>
  </si>
  <si>
    <t>Capital Inference</t>
  </si>
  <si>
    <t>BPDD</t>
  </si>
  <si>
    <t>Reserve legale</t>
  </si>
  <si>
    <t>106100</t>
  </si>
  <si>
    <t>BPDG</t>
  </si>
  <si>
    <t>Autres reserves</t>
  </si>
  <si>
    <t>106880</t>
  </si>
  <si>
    <t>BPDH</t>
  </si>
  <si>
    <t>110000</t>
  </si>
  <si>
    <t>Report a nouv. cred.</t>
  </si>
  <si>
    <t>BPDI</t>
  </si>
  <si>
    <t>Resultat de l exercice</t>
  </si>
  <si>
    <t>120000</t>
  </si>
  <si>
    <t>Benefice exercice</t>
  </si>
  <si>
    <t>129000</t>
  </si>
  <si>
    <t>Perte de l' exercice</t>
  </si>
  <si>
    <t>603700</t>
  </si>
  <si>
    <t>Variation stock maté</t>
  </si>
  <si>
    <t>603701</t>
  </si>
  <si>
    <t>Variation stock lice</t>
  </si>
  <si>
    <t>604000</t>
  </si>
  <si>
    <t>Achat Etud.&amp;SrvRvte</t>
  </si>
  <si>
    <t>604011</t>
  </si>
  <si>
    <t>Dépl sous traités</t>
  </si>
  <si>
    <t>604100</t>
  </si>
  <si>
    <t>Achat mt revente</t>
  </si>
  <si>
    <t>604301</t>
  </si>
  <si>
    <t>Maint sous traitées</t>
  </si>
  <si>
    <t>604501</t>
  </si>
  <si>
    <t>Licences sous-traité</t>
  </si>
  <si>
    <t>606120</t>
  </si>
  <si>
    <t>Electricite</t>
  </si>
  <si>
    <t>606130</t>
  </si>
  <si>
    <t>GAZ</t>
  </si>
  <si>
    <t>606300</t>
  </si>
  <si>
    <t>Outil.pet.mater.log.</t>
  </si>
  <si>
    <t>606400</t>
  </si>
  <si>
    <t>Fournitur.administrt</t>
  </si>
  <si>
    <t>606600</t>
  </si>
  <si>
    <t>Carburant</t>
  </si>
  <si>
    <t>607000</t>
  </si>
  <si>
    <t>Achat materiel rvte</t>
  </si>
  <si>
    <t>607070</t>
  </si>
  <si>
    <t>Achat mat.rvte stock</t>
  </si>
  <si>
    <t>607100</t>
  </si>
  <si>
    <t>Achat licences rvte</t>
  </si>
  <si>
    <t>607170</t>
  </si>
  <si>
    <t>Achat lic.rvte stock</t>
  </si>
  <si>
    <t>607200</t>
  </si>
  <si>
    <t>Frais acces. /achats</t>
  </si>
  <si>
    <t>608000</t>
  </si>
  <si>
    <t>611100</t>
  </si>
  <si>
    <t>Frais de Surveil.</t>
  </si>
  <si>
    <t>613100</t>
  </si>
  <si>
    <t>Location voit foncti</t>
  </si>
  <si>
    <t>613200</t>
  </si>
  <si>
    <t>Location bureaux</t>
  </si>
  <si>
    <t>613500</t>
  </si>
  <si>
    <t>Location materiel</t>
  </si>
  <si>
    <t>614000</t>
  </si>
  <si>
    <t>Charges loc+co-prop.</t>
  </si>
  <si>
    <t>615200</t>
  </si>
  <si>
    <t>Locx entret.reparat.</t>
  </si>
  <si>
    <t>615510</t>
  </si>
  <si>
    <t>Entret.Repar.Auto</t>
  </si>
  <si>
    <t>615520</t>
  </si>
  <si>
    <t>Entret.Repar.Divers</t>
  </si>
  <si>
    <t>615660</t>
  </si>
  <si>
    <t>Maintenance logiciel</t>
  </si>
  <si>
    <t>615670</t>
  </si>
  <si>
    <t>Maintenance materiel</t>
  </si>
  <si>
    <t>616100</t>
  </si>
  <si>
    <t>Assurances diverses</t>
  </si>
  <si>
    <t>616300</t>
  </si>
  <si>
    <t>Assurances autos</t>
  </si>
  <si>
    <t>617000</t>
  </si>
  <si>
    <t>Etud&amp;Recherc.Qualiac</t>
  </si>
  <si>
    <t>617030</t>
  </si>
  <si>
    <t>Etudes Marketing</t>
  </si>
  <si>
    <t>617040</t>
  </si>
  <si>
    <t>Marketing direct</t>
  </si>
  <si>
    <t>617050</t>
  </si>
  <si>
    <t>Frais div presse</t>
  </si>
  <si>
    <t>618100</t>
  </si>
  <si>
    <t>Documentation gener.</t>
  </si>
  <si>
    <t>618520</t>
  </si>
  <si>
    <t>Formation profession</t>
  </si>
  <si>
    <t>618530</t>
  </si>
  <si>
    <t>Frais appel fond Age</t>
  </si>
  <si>
    <t>621100</t>
  </si>
  <si>
    <t>Personnel Interim.</t>
  </si>
  <si>
    <t>622200</t>
  </si>
  <si>
    <t>Commission &amp; Court.</t>
  </si>
  <si>
    <t>622600</t>
  </si>
  <si>
    <t>Honoraires administ.</t>
  </si>
  <si>
    <t>622620</t>
  </si>
  <si>
    <t>Honoraires recruteme</t>
  </si>
  <si>
    <t>622630</t>
  </si>
  <si>
    <t>Hon Comm et market</t>
  </si>
  <si>
    <t>622640</t>
  </si>
  <si>
    <t>Honor.Audit&amp;Cons.Ext</t>
  </si>
  <si>
    <t>622700</t>
  </si>
  <si>
    <t>Fr. Actes &amp; Conten.</t>
  </si>
  <si>
    <t>622800</t>
  </si>
  <si>
    <t>Rdev. Adm.</t>
  </si>
  <si>
    <t>623000</t>
  </si>
  <si>
    <t>Pub, publicat&amp;Relati</t>
  </si>
  <si>
    <t>623100</t>
  </si>
  <si>
    <t>Insertions publicit.</t>
  </si>
  <si>
    <t>623120</t>
  </si>
  <si>
    <t>Annonces emb.&amp;légale</t>
  </si>
  <si>
    <t>623300</t>
  </si>
  <si>
    <t>Foires &amp; expos Salon</t>
  </si>
  <si>
    <t>623350</t>
  </si>
  <si>
    <t>Foires &amp; expos Sém</t>
  </si>
  <si>
    <t>623400</t>
  </si>
  <si>
    <t>Cadeaux divers</t>
  </si>
  <si>
    <t>623600</t>
  </si>
  <si>
    <t>Catalogue &amp; Imprimés</t>
  </si>
  <si>
    <t>623800</t>
  </si>
  <si>
    <t>Dons Divers</t>
  </si>
  <si>
    <t>624200</t>
  </si>
  <si>
    <t>Fret et Transport</t>
  </si>
  <si>
    <t>624300</t>
  </si>
  <si>
    <t>Frais de déménagemen</t>
  </si>
  <si>
    <t>624700</t>
  </si>
  <si>
    <t>Transp.Coll.Personne</t>
  </si>
  <si>
    <t>625100</t>
  </si>
  <si>
    <t>Voy &amp; depl. GENERAL</t>
  </si>
  <si>
    <t>625200</t>
  </si>
  <si>
    <t>Frais de dép./Hono.</t>
  </si>
  <si>
    <t>625230</t>
  </si>
  <si>
    <t>Voy &amp; depl. VENDUS</t>
  </si>
  <si>
    <t>625300</t>
  </si>
  <si>
    <t>Presta Service/FrDép</t>
  </si>
  <si>
    <t>625601</t>
  </si>
  <si>
    <t>MISSIONS INTERNES</t>
  </si>
  <si>
    <t>625700</t>
  </si>
  <si>
    <t>MISSIONS RECEPTIONS</t>
  </si>
  <si>
    <t>626000</t>
  </si>
  <si>
    <t>PTT affranchissement</t>
  </si>
  <si>
    <t>626100</t>
  </si>
  <si>
    <t>Telephone Fax Telex</t>
  </si>
  <si>
    <t>627000</t>
  </si>
  <si>
    <t>Frais Serv. Bancair.</t>
  </si>
  <si>
    <t>628000</t>
  </si>
  <si>
    <t>Autres serv. ext. dv</t>
  </si>
  <si>
    <t>628100</t>
  </si>
  <si>
    <t>Cotisat. dons pourb.</t>
  </si>
  <si>
    <t>633300</t>
  </si>
  <si>
    <t>Form.Continue Orga.</t>
  </si>
  <si>
    <t>633400</t>
  </si>
  <si>
    <t>Eff.Construct.Organ.</t>
  </si>
  <si>
    <t>633500</t>
  </si>
  <si>
    <t>Taxe Apprentissage</t>
  </si>
  <si>
    <t>635100</t>
  </si>
  <si>
    <t>Taxe professionnelle</t>
  </si>
  <si>
    <t>635110</t>
  </si>
  <si>
    <t>635140</t>
  </si>
  <si>
    <t>Taxe différencielle/</t>
  </si>
  <si>
    <t>635400</t>
  </si>
  <si>
    <t>Droits enregist+timb</t>
  </si>
  <si>
    <t>635514</t>
  </si>
  <si>
    <t>Taxe sur les véhicul</t>
  </si>
  <si>
    <t>637100</t>
  </si>
  <si>
    <t>ORGANIC</t>
  </si>
  <si>
    <t>637800</t>
  </si>
  <si>
    <t>AGEFIPH</t>
  </si>
  <si>
    <t>641100</t>
  </si>
  <si>
    <t>Salaires</t>
  </si>
  <si>
    <t>641101</t>
  </si>
  <si>
    <t>Commissions</t>
  </si>
  <si>
    <t>641102</t>
  </si>
  <si>
    <t>Primes variables</t>
  </si>
  <si>
    <t>641200</t>
  </si>
  <si>
    <t>Conges payes</t>
  </si>
  <si>
    <t>641400</t>
  </si>
  <si>
    <t>Indemnit. Licencie.</t>
  </si>
  <si>
    <t>641500</t>
  </si>
  <si>
    <t>Indemnit. Transact.</t>
  </si>
  <si>
    <t>645100</t>
  </si>
  <si>
    <t>Cotisations URSSAF</t>
  </si>
  <si>
    <t>645108</t>
  </si>
  <si>
    <t>Cotis. URSSAF Paris</t>
  </si>
  <si>
    <t>645109</t>
  </si>
  <si>
    <t>Cotis. URSSAF Cham</t>
  </si>
  <si>
    <t>645200</t>
  </si>
  <si>
    <t>Charg.Soc.Conges Pay</t>
  </si>
  <si>
    <t>645300</t>
  </si>
  <si>
    <t>Cotisations Mornay</t>
  </si>
  <si>
    <t>645310</t>
  </si>
  <si>
    <t>Cotisations CGIC</t>
  </si>
  <si>
    <t>645320</t>
  </si>
  <si>
    <t>Cotisations AGRR</t>
  </si>
  <si>
    <t>645330</t>
  </si>
  <si>
    <t>Cotisations MC 15</t>
  </si>
  <si>
    <t>645400</t>
  </si>
  <si>
    <t>Cotisations ASSEDIC</t>
  </si>
  <si>
    <t>645800</t>
  </si>
  <si>
    <t>Cot.autres org. soc.</t>
  </si>
  <si>
    <t>647200</t>
  </si>
  <si>
    <t>Versement C.E.</t>
  </si>
  <si>
    <t>647400</t>
  </si>
  <si>
    <t>Versement Oeuvres CE</t>
  </si>
  <si>
    <t>647500</t>
  </si>
  <si>
    <t>Medecine du Travail</t>
  </si>
  <si>
    <t>647600</t>
  </si>
  <si>
    <t>Indemnités transport</t>
  </si>
  <si>
    <t>647700</t>
  </si>
  <si>
    <t>TR Salarié</t>
  </si>
  <si>
    <t>648000</t>
  </si>
  <si>
    <t>Autres chges person.</t>
  </si>
  <si>
    <t>658000</t>
  </si>
  <si>
    <t>Charges gestion</t>
  </si>
  <si>
    <t>658100</t>
  </si>
  <si>
    <t>666000</t>
  </si>
  <si>
    <t>Pertes de Change</t>
  </si>
  <si>
    <t>668800</t>
  </si>
  <si>
    <t>Autres charges finan</t>
  </si>
  <si>
    <t>671200</t>
  </si>
  <si>
    <t>Contraventions</t>
  </si>
  <si>
    <t>671800</t>
  </si>
  <si>
    <t>Autr.Charg.Excep.Ges</t>
  </si>
  <si>
    <t>675100</t>
  </si>
  <si>
    <t>Val.Cpt.Immo Incorp.</t>
  </si>
  <si>
    <t>681110</t>
  </si>
  <si>
    <t>Dot.Depot de marque</t>
  </si>
  <si>
    <t>681121</t>
  </si>
  <si>
    <t>Dot.Amort.Ag.Am.Div.</t>
  </si>
  <si>
    <t>681123</t>
  </si>
  <si>
    <t>Dot.Amort.Mat.Infor.</t>
  </si>
  <si>
    <t>681124</t>
  </si>
  <si>
    <t>Dot.Amort.Mat.Bureau</t>
  </si>
  <si>
    <t>681500</t>
  </si>
  <si>
    <t>Dot.Prov.Risq.Ch.Exp</t>
  </si>
  <si>
    <t>681730</t>
  </si>
  <si>
    <t>Dot. Prov. Depr. St.</t>
  </si>
  <si>
    <t>681740</t>
  </si>
  <si>
    <t>Dot depreciat client</t>
  </si>
  <si>
    <t>681745</t>
  </si>
  <si>
    <t>Dot depreciat creanc</t>
  </si>
  <si>
    <t>691000</t>
  </si>
  <si>
    <t>Participation</t>
  </si>
  <si>
    <t>695000</t>
  </si>
  <si>
    <t>Impot sur Benefices</t>
  </si>
  <si>
    <t>706000</t>
  </si>
  <si>
    <t>Ventes prest. S.S.</t>
  </si>
  <si>
    <t>706001</t>
  </si>
  <si>
    <t>Prest.serv.sous trai</t>
  </si>
  <si>
    <t>706011</t>
  </si>
  <si>
    <t>Dplts sous-traités</t>
  </si>
  <si>
    <t>706080</t>
  </si>
  <si>
    <t>Refact.Depl.France</t>
  </si>
  <si>
    <t>706082</t>
  </si>
  <si>
    <t>Refact.Depl.Fr.Exo</t>
  </si>
  <si>
    <t>706200</t>
  </si>
  <si>
    <t>Ventes prest. H.S.</t>
  </si>
  <si>
    <t>706210</t>
  </si>
  <si>
    <t>Ventes Consult HS Fr</t>
  </si>
  <si>
    <t>706220</t>
  </si>
  <si>
    <t>Ventes form. M.E.</t>
  </si>
  <si>
    <t>706300</t>
  </si>
  <si>
    <t>Ventes Maintenance</t>
  </si>
  <si>
    <t>706301</t>
  </si>
  <si>
    <t>Maint sous-traitées</t>
  </si>
  <si>
    <t>706330</t>
  </si>
  <si>
    <t>Vte Gérance d'exploi</t>
  </si>
  <si>
    <t>706370</t>
  </si>
  <si>
    <t>Vte Maint.Achat Rev.</t>
  </si>
  <si>
    <t>706500</t>
  </si>
  <si>
    <t>Ventes Progiciels</t>
  </si>
  <si>
    <t>706501</t>
  </si>
  <si>
    <t>Licence sous-traités</t>
  </si>
  <si>
    <t>706902</t>
  </si>
  <si>
    <t>Ventes Serv.Exo SS</t>
  </si>
  <si>
    <t>706921</t>
  </si>
  <si>
    <t>Ventes ServExo hs CR</t>
  </si>
  <si>
    <t>706922</t>
  </si>
  <si>
    <t>Ventes Serv.Exo hs</t>
  </si>
  <si>
    <t>706932</t>
  </si>
  <si>
    <t>Export mt Exo</t>
  </si>
  <si>
    <t>706937</t>
  </si>
  <si>
    <t>Vte mt.A/R exo</t>
  </si>
  <si>
    <t>706938</t>
  </si>
  <si>
    <t>Vte mt.A/R 3%</t>
  </si>
  <si>
    <t>706939</t>
  </si>
  <si>
    <t>Vte mt.A/R 9.5%</t>
  </si>
  <si>
    <t>706952</t>
  </si>
  <si>
    <t>Export Produits Exo</t>
  </si>
  <si>
    <t>706982</t>
  </si>
  <si>
    <t>Refact. Depl. Exo.</t>
  </si>
  <si>
    <t>707000</t>
  </si>
  <si>
    <t>Ventes materiel</t>
  </si>
  <si>
    <t>707100</t>
  </si>
  <si>
    <t>Revente licences</t>
  </si>
  <si>
    <t>707912</t>
  </si>
  <si>
    <t>Export licence Exo</t>
  </si>
  <si>
    <t>708200</t>
  </si>
  <si>
    <t>Comm. Courtag. recus</t>
  </si>
  <si>
    <t>713410</t>
  </si>
  <si>
    <t>Variat etud en cours</t>
  </si>
  <si>
    <t>740000</t>
  </si>
  <si>
    <t>Subvent. d'Exploit.</t>
  </si>
  <si>
    <t>758000</t>
  </si>
  <si>
    <t>Autres Produits</t>
  </si>
  <si>
    <t>763800</t>
  </si>
  <si>
    <t>revenu sur creance d</t>
  </si>
  <si>
    <t>766000</t>
  </si>
  <si>
    <t>Gains de Change</t>
  </si>
  <si>
    <t>767000</t>
  </si>
  <si>
    <t>OPCVM Cession Sicav</t>
  </si>
  <si>
    <t>768800</t>
  </si>
  <si>
    <t>Autres Produits Fina</t>
  </si>
  <si>
    <t>771800</t>
  </si>
  <si>
    <t>Aut.Prod.Ex/Prod.Ges</t>
  </si>
  <si>
    <t>775230</t>
  </si>
  <si>
    <t>Prod.Cess.Mat.Inf.Im</t>
  </si>
  <si>
    <t>781500</t>
  </si>
  <si>
    <t>Rep Prov Risq Ch Exp</t>
  </si>
  <si>
    <t>791200</t>
  </si>
  <si>
    <t>Contrats Qualificat.</t>
  </si>
  <si>
    <t>791210</t>
  </si>
  <si>
    <t>Tr.Ch.Exp. Divers</t>
  </si>
  <si>
    <t>791220</t>
  </si>
  <si>
    <t>Tr.Char. Ind. ag2r</t>
  </si>
  <si>
    <t>791233</t>
  </si>
  <si>
    <t>form.pris.char.FAFIE</t>
  </si>
  <si>
    <t>791260</t>
  </si>
  <si>
    <t>Avantages en nature</t>
  </si>
  <si>
    <t>BPDR</t>
  </si>
  <si>
    <t>Provisions pour risuqes TOTAL (III)</t>
  </si>
  <si>
    <t>BPDP</t>
  </si>
  <si>
    <t>151100</t>
  </si>
  <si>
    <t>Prov. litiges</t>
  </si>
  <si>
    <t>151200</t>
  </si>
  <si>
    <t>Prov.garant. clients</t>
  </si>
  <si>
    <t>BPDQ</t>
  </si>
  <si>
    <t>158000</t>
  </si>
  <si>
    <t>Prov. pour charges</t>
  </si>
  <si>
    <t>BPEC</t>
  </si>
  <si>
    <t>TOTAL (IV)</t>
  </si>
  <si>
    <t>BPDU</t>
  </si>
  <si>
    <t>Emprunts dettes etablissement de credit</t>
  </si>
  <si>
    <t>BPDV</t>
  </si>
  <si>
    <t>Emprunts dettes financieres divers</t>
  </si>
  <si>
    <t>168101</t>
  </si>
  <si>
    <t>Ass.Prospection Cofa</t>
  </si>
  <si>
    <t>455000</t>
  </si>
  <si>
    <t>C/c associes</t>
  </si>
  <si>
    <t>455300</t>
  </si>
  <si>
    <t>455400</t>
  </si>
  <si>
    <t>Acompte/Dividendes Q</t>
  </si>
  <si>
    <t>455500</t>
  </si>
  <si>
    <t>FIQ - Intég. fiscale</t>
  </si>
  <si>
    <t>BPDX</t>
  </si>
  <si>
    <t>Dettes fourn.  cptes rattaches</t>
  </si>
  <si>
    <t>401000</t>
  </si>
  <si>
    <t>Fournisseurs</t>
  </si>
  <si>
    <t>408100</t>
  </si>
  <si>
    <t>Factures a recevoir</t>
  </si>
  <si>
    <t>BPDY</t>
  </si>
  <si>
    <t>Dettes fiscales  sociales</t>
  </si>
  <si>
    <t>422200</t>
  </si>
  <si>
    <t>428200</t>
  </si>
  <si>
    <t>Prov. conges payes</t>
  </si>
  <si>
    <t>428400</t>
  </si>
  <si>
    <t>Interessem. a Payer</t>
  </si>
  <si>
    <t>428410</t>
  </si>
  <si>
    <t>428600</t>
  </si>
  <si>
    <t>Person.chges a payer</t>
  </si>
  <si>
    <t>431000</t>
  </si>
  <si>
    <t>Sec. soc.Aurillac</t>
  </si>
  <si>
    <t>431009</t>
  </si>
  <si>
    <t>Sec. Soc. Cham</t>
  </si>
  <si>
    <t>437300</t>
  </si>
  <si>
    <t>CGIS Retraite</t>
  </si>
  <si>
    <t>437310</t>
  </si>
  <si>
    <t>CGIC Cadre</t>
  </si>
  <si>
    <t>437320</t>
  </si>
  <si>
    <t>A.G.R.R.</t>
  </si>
  <si>
    <t>437330</t>
  </si>
  <si>
    <t>MC 15</t>
  </si>
  <si>
    <t>437400</t>
  </si>
  <si>
    <t>ASSEDIC</t>
  </si>
  <si>
    <t>438200</t>
  </si>
  <si>
    <t>Charg. / Cong. Payes</t>
  </si>
  <si>
    <t>438600</t>
  </si>
  <si>
    <t>Autres Ch. Sociales</t>
  </si>
  <si>
    <t>438620</t>
  </si>
  <si>
    <t>FONGECIF Vers 0,1%</t>
  </si>
  <si>
    <t>438630</t>
  </si>
  <si>
    <t>FAFIEC</t>
  </si>
  <si>
    <t>438640</t>
  </si>
  <si>
    <t>Effort construction</t>
  </si>
  <si>
    <t>438650</t>
  </si>
  <si>
    <t>438660</t>
  </si>
  <si>
    <t>438670</t>
  </si>
  <si>
    <t>Organic</t>
  </si>
  <si>
    <t>438680</t>
  </si>
  <si>
    <t>445510</t>
  </si>
  <si>
    <t>TVA a decaisser</t>
  </si>
  <si>
    <t>445760</t>
  </si>
  <si>
    <t>TVA Enc.  Services</t>
  </si>
  <si>
    <t>445766</t>
  </si>
  <si>
    <t>448600</t>
  </si>
  <si>
    <t>ETAT chges a payer</t>
  </si>
  <si>
    <t>448620</t>
  </si>
  <si>
    <t>BPEA</t>
  </si>
  <si>
    <t>419800</t>
  </si>
  <si>
    <t>Clt avoir a etablir</t>
  </si>
  <si>
    <t>BPEB</t>
  </si>
  <si>
    <t>Produits constates d avance</t>
  </si>
  <si>
    <t>487000</t>
  </si>
  <si>
    <t>Prod.Const.d'Avanc.</t>
  </si>
  <si>
    <t>BPED</t>
  </si>
  <si>
    <t>Ecart conversion passif</t>
  </si>
  <si>
    <t>477100</t>
  </si>
  <si>
    <t>Dif.Con.Pass.Aug.Cr.</t>
  </si>
  <si>
    <t>PLCPTRES</t>
  </si>
  <si>
    <t>REHN</t>
  </si>
  <si>
    <t>Benefice ou Perte</t>
  </si>
  <si>
    <t>REGW</t>
  </si>
  <si>
    <t>Resultat avant impot (I-II+III-IV+V-VI)</t>
  </si>
  <si>
    <t>REGG</t>
  </si>
  <si>
    <t>REFR</t>
  </si>
  <si>
    <t>REFL</t>
  </si>
  <si>
    <t>REFC</t>
  </si>
  <si>
    <t>Ventes de marchandises</t>
  </si>
  <si>
    <t>REFA</t>
  </si>
  <si>
    <t>REFB</t>
  </si>
  <si>
    <t>Ventes de marchandises Export</t>
  </si>
  <si>
    <t>REFI</t>
  </si>
  <si>
    <t>REFM</t>
  </si>
  <si>
    <t>Production stockee</t>
  </si>
  <si>
    <t>REFO</t>
  </si>
  <si>
    <t>Subvention d exploitation</t>
  </si>
  <si>
    <t>REFP</t>
  </si>
  <si>
    <t>Reprise amortissement provisions,charges</t>
  </si>
  <si>
    <t>REFQ</t>
  </si>
  <si>
    <t>REGF</t>
  </si>
  <si>
    <t>REFS</t>
  </si>
  <si>
    <t>REFT</t>
  </si>
  <si>
    <t>Variation de stock (marchandises)</t>
  </si>
  <si>
    <t>REFV</t>
  </si>
  <si>
    <t>Variation de stock (mat.prem.approv.)</t>
  </si>
  <si>
    <t>REFW</t>
  </si>
  <si>
    <t>Autres achats &amp; charges externes</t>
  </si>
  <si>
    <t>REFX</t>
  </si>
  <si>
    <t>Impots taxes &amp; versements assimiles</t>
  </si>
  <si>
    <t>REFY</t>
  </si>
  <si>
    <t>Salaires &amp; traitements</t>
  </si>
  <si>
    <t>REFZ</t>
  </si>
  <si>
    <t>REGF1</t>
  </si>
  <si>
    <t>REGA</t>
  </si>
  <si>
    <t>REGC</t>
  </si>
  <si>
    <t>Dotations provisions actif circulant</t>
  </si>
  <si>
    <t>REGD</t>
  </si>
  <si>
    <t>Dotations provisions risques charges</t>
  </si>
  <si>
    <t>REGE</t>
  </si>
  <si>
    <t>REGV</t>
  </si>
  <si>
    <t>Resultat financier (V-VI)</t>
  </si>
  <si>
    <t>REGP</t>
  </si>
  <si>
    <t>REGL</t>
  </si>
  <si>
    <t>Autres interets et produits assimiles</t>
  </si>
  <si>
    <t>REGN</t>
  </si>
  <si>
    <t>Differences positives de change</t>
  </si>
  <si>
    <t>REGO</t>
  </si>
  <si>
    <t>Produits nets cessions val.mob.placement</t>
  </si>
  <si>
    <t>REGU</t>
  </si>
  <si>
    <t>REGR</t>
  </si>
  <si>
    <t>Interets et charges assimilees</t>
  </si>
  <si>
    <t>REGS</t>
  </si>
  <si>
    <t>Differences negatives de change</t>
  </si>
  <si>
    <t>REHI</t>
  </si>
  <si>
    <t>Resultat exceptionnel (VII-VIII)</t>
  </si>
  <si>
    <t>REHD</t>
  </si>
  <si>
    <t>REHA</t>
  </si>
  <si>
    <t>Produits excep s/operations de gestion</t>
  </si>
  <si>
    <t>REHB</t>
  </si>
  <si>
    <t>Produits excep s/operations en capital</t>
  </si>
  <si>
    <t>REHH</t>
  </si>
  <si>
    <t>Total charges exceptionnelles(VIII)</t>
  </si>
  <si>
    <t>REHE</t>
  </si>
  <si>
    <t>Charges excep. /operations de gestion</t>
  </si>
  <si>
    <t>REHF</t>
  </si>
  <si>
    <t>Charges excep. /operations en capital</t>
  </si>
  <si>
    <t>REHJ</t>
  </si>
  <si>
    <t>Participation des salaries  (IX)</t>
  </si>
  <si>
    <t>REHK</t>
  </si>
  <si>
    <t>Impots sur les benefices  (X)</t>
  </si>
  <si>
    <t>PLSIG</t>
  </si>
  <si>
    <t>SIG80</t>
  </si>
  <si>
    <t>SIG60</t>
  </si>
  <si>
    <t>SIG50</t>
  </si>
  <si>
    <t>SIG40</t>
  </si>
  <si>
    <t>SIG30</t>
  </si>
  <si>
    <t>SIG10</t>
  </si>
  <si>
    <t>SIG11</t>
  </si>
  <si>
    <t>SIG12</t>
  </si>
  <si>
    <t>SIG14</t>
  </si>
  <si>
    <t>SIG20</t>
  </si>
  <si>
    <t>SIG22</t>
  </si>
  <si>
    <t>SIG223</t>
  </si>
  <si>
    <t>SIG224</t>
  </si>
  <si>
    <t>SIG23</t>
  </si>
  <si>
    <t>SIG31</t>
  </si>
  <si>
    <t>SIG33</t>
  </si>
  <si>
    <t>Frais accessoires d'achats d'approv.</t>
  </si>
  <si>
    <t>SIG35</t>
  </si>
  <si>
    <t>SIG41</t>
  </si>
  <si>
    <t>Subventions d'exploittaion</t>
  </si>
  <si>
    <t>SIG42</t>
  </si>
  <si>
    <t>SIG43</t>
  </si>
  <si>
    <t>SIG51</t>
  </si>
  <si>
    <t>Reprise sur amort. et prov. d'exploit.</t>
  </si>
  <si>
    <t>SIG52</t>
  </si>
  <si>
    <t>Dotations amort. et provision d'exploit.</t>
  </si>
  <si>
    <t>SIG53</t>
  </si>
  <si>
    <t>SIG54</t>
  </si>
  <si>
    <t>SIG55</t>
  </si>
  <si>
    <t>SIG63</t>
  </si>
  <si>
    <t>SIG64</t>
  </si>
  <si>
    <t>SIG70</t>
  </si>
  <si>
    <t>SIG71</t>
  </si>
  <si>
    <t>SIG72</t>
  </si>
  <si>
    <t>SIG81</t>
  </si>
  <si>
    <t>SIG82</t>
  </si>
  <si>
    <t>PLCAF</t>
  </si>
  <si>
    <t>Capacité d'autofinancement</t>
  </si>
  <si>
    <t>CAF1</t>
  </si>
  <si>
    <t>CAF2</t>
  </si>
  <si>
    <t>CAF3</t>
  </si>
  <si>
    <t>CAF4</t>
  </si>
  <si>
    <t>CAF6</t>
  </si>
  <si>
    <t>CAF7</t>
  </si>
  <si>
    <t>CAF8</t>
  </si>
  <si>
    <t>CAF9</t>
  </si>
  <si>
    <t>CAF10</t>
  </si>
  <si>
    <t>CAF11</t>
  </si>
  <si>
    <t>PLNBFR</t>
  </si>
  <si>
    <t>Besoin en Fonds de Roulement</t>
  </si>
  <si>
    <t>PLNBFR1</t>
  </si>
  <si>
    <t>Actif circulant</t>
  </si>
  <si>
    <t>PLNBFR11</t>
  </si>
  <si>
    <t>PLNBFR12</t>
  </si>
  <si>
    <t>Créances clients</t>
  </si>
  <si>
    <t>PLNBFR14</t>
  </si>
  <si>
    <t>PLNBFR15</t>
  </si>
  <si>
    <t>PLNBFR18</t>
  </si>
  <si>
    <t>PLNBFR2</t>
  </si>
  <si>
    <t>Passif d'exploitation</t>
  </si>
  <si>
    <t>PLNBFR21</t>
  </si>
  <si>
    <t>PLNBFR22</t>
  </si>
  <si>
    <t>PLNBFR23</t>
  </si>
  <si>
    <t>PLNBFR25</t>
  </si>
  <si>
    <t>PLNBFR28</t>
  </si>
  <si>
    <t>PLNBFR3</t>
  </si>
  <si>
    <t>Plans techniques immo</t>
  </si>
  <si>
    <t>PLNBFR31</t>
  </si>
  <si>
    <t>Immo  Corporelles et incorporelles</t>
  </si>
  <si>
    <t>PLNBFR32</t>
  </si>
  <si>
    <t>Immo  financières</t>
  </si>
  <si>
    <t>PLNBFR36</t>
  </si>
  <si>
    <t>Amort. Immo  corp et incorp.</t>
  </si>
  <si>
    <t>PLTDF</t>
  </si>
  <si>
    <t>Tableaux de financement</t>
  </si>
  <si>
    <t>TDF1</t>
  </si>
  <si>
    <t>Tableau de financement 1</t>
  </si>
  <si>
    <t>TDF1AC</t>
  </si>
  <si>
    <t>Augmentation des capitaux propres</t>
  </si>
  <si>
    <t>TDF1AC1</t>
  </si>
  <si>
    <t>TDF1BJ</t>
  </si>
  <si>
    <t>Actif immobilisé</t>
  </si>
  <si>
    <t>TDF1BJ1</t>
  </si>
  <si>
    <t>TDF1AF</t>
  </si>
  <si>
    <t>TDF1BJ2</t>
  </si>
  <si>
    <t>TDF1AT</t>
  </si>
  <si>
    <t>TDF1BJ3</t>
  </si>
  <si>
    <t>TDF1BH</t>
  </si>
  <si>
    <t>TDF1CE</t>
  </si>
  <si>
    <t>Produits des cessions d'éléments d'actif</t>
  </si>
  <si>
    <t>TDF1CE2</t>
  </si>
  <si>
    <t>Produits des cessions immobilisations corporelles</t>
  </si>
  <si>
    <t>TDF1DA</t>
  </si>
  <si>
    <t>Augmentation des dettes financières</t>
  </si>
  <si>
    <t>TDF2</t>
  </si>
  <si>
    <t>Tableau de financement 2</t>
  </si>
  <si>
    <t>TDF2AC</t>
  </si>
  <si>
    <t>Autres créditeurs</t>
  </si>
  <si>
    <t>TDF2EA</t>
  </si>
  <si>
    <t>TDF2EI</t>
  </si>
  <si>
    <t>Intérêts courus non échus sur emprunts</t>
  </si>
  <si>
    <t>TDF2AD</t>
  </si>
  <si>
    <t>Autres débiteurs</t>
  </si>
  <si>
    <t>TDF2CD</t>
  </si>
  <si>
    <t>Créances diverses</t>
  </si>
  <si>
    <t>TDF2VM</t>
  </si>
  <si>
    <t>TDF2CJ2</t>
  </si>
  <si>
    <t>Créances clients, compte rattachés et autres créances expl.</t>
  </si>
  <si>
    <t>TDF2BX</t>
  </si>
  <si>
    <t>TDF2BZ</t>
  </si>
  <si>
    <t>TDF2CH</t>
  </si>
  <si>
    <t>TDF2CN</t>
  </si>
  <si>
    <t>TDF2ED</t>
  </si>
  <si>
    <t>TDF2DE</t>
  </si>
  <si>
    <t>Dettes fourn.  cptes rattachés et autres dettes d'expl.</t>
  </si>
  <si>
    <t>TDF2DX</t>
  </si>
  <si>
    <t>TDF2DY</t>
  </si>
  <si>
    <t>TDF2EB</t>
  </si>
  <si>
    <t>TDF2J1</t>
  </si>
  <si>
    <t>TDF2BP</t>
  </si>
  <si>
    <t>TDF2BT</t>
  </si>
  <si>
    <t>TDF2VA</t>
  </si>
  <si>
    <t>TDF2VC</t>
  </si>
  <si>
    <t>Variations des concours bancaires courants et soldes crédi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</si>
</sst>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\-##,##0.00;\-#,##0.00"/>
    <numFmt numFmtId="166" formatCode="\+##,##0.00;\-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191CD"/>
        <bgColor indexed="64"/>
      </patternFill>
    </fill>
    <fill>
      <patternFill patternType="solid">
        <fgColor rgb="FF9BB5DB"/>
        <bgColor indexed="64"/>
      </patternFill>
    </fill>
    <fill>
      <patternFill patternType="solid">
        <fgColor rgb="FFBBC8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343">
    <xf numFmtId="0" fontId="0" fillId="0" borderId="0" xfId="0"/>
    <xf numFmtId="2" fontId="0" fillId="0" borderId="0" xfId="0" applyNumberFormat="1"/>
    <xf numFmtId="0" fontId="0" fillId="0" borderId="0" xfId="0" applyAlignment="1">
      <alignment horizontal="left" vertical="center" indent="1"/>
    </xf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indent="1"/>
    </xf>
    <xf numFmtId="4" fontId="0" fillId="0" borderId="4" xfId="0" applyNumberFormat="1" applyBorder="1" applyAlignment="1">
      <alignment horizontal="right" vertical="center" indent="1"/>
    </xf>
    <xf numFmtId="4" fontId="1" fillId="2" borderId="5" xfId="0" applyNumberFormat="1" applyFont="1" applyFill="1" applyBorder="1" applyAlignment="1">
      <alignment horizontal="right" vertical="center" indent="1"/>
    </xf>
    <xf numFmtId="4" fontId="1" fillId="2" borderId="7" xfId="0" applyNumberFormat="1" applyFont="1" applyFill="1" applyBorder="1" applyAlignment="1">
      <alignment horizontal="right" vertical="center" indent="1"/>
    </xf>
    <xf numFmtId="4" fontId="4" fillId="6" borderId="9" xfId="0" applyNumberFormat="1" applyFont="1" applyFill="1" applyBorder="1" applyAlignment="1">
      <alignment horizontal="right" vertical="center" indent="1"/>
    </xf>
    <xf numFmtId="0" fontId="4" fillId="5" borderId="6" xfId="0" applyFont="1" applyFill="1" applyBorder="1" applyAlignment="1">
      <alignment horizontal="left" vertical="center" indent="1"/>
    </xf>
    <xf numFmtId="4" fontId="4" fillId="5" borderId="5" xfId="0" applyNumberFormat="1" applyFont="1" applyFill="1" applyBorder="1" applyAlignment="1">
      <alignment horizontal="right" vertical="center" indent="1"/>
    </xf>
    <xf numFmtId="0" fontId="4" fillId="6" borderId="8" xfId="0" applyFont="1" applyFill="1" applyBorder="1" applyAlignment="1">
      <alignment horizontal="left" vertical="center" indent="2"/>
    </xf>
    <xf numFmtId="4" fontId="0" fillId="0" borderId="16" xfId="0" applyNumberFormat="1" applyBorder="1" applyAlignment="1">
      <alignment horizontal="right" vertical="center" indent="1"/>
    </xf>
    <xf numFmtId="4" fontId="0" fillId="0" borderId="15" xfId="0" applyNumberFormat="1" applyBorder="1" applyAlignment="1">
      <alignment horizontal="right" vertical="center" indent="1"/>
    </xf>
    <xf numFmtId="0" fontId="0" fillId="0" borderId="4" xfId="0" applyBorder="1" applyAlignment="1">
      <alignment horizontal="left" vertical="center" indent="8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left" vertical="center" indent="1"/>
    </xf>
    <xf numFmtId="4" fontId="0" fillId="0" borderId="11" xfId="0" applyNumberFormat="1" applyBorder="1" applyAlignment="1">
      <alignment horizontal="right" vertical="center" indent="1"/>
    </xf>
    <xf numFmtId="4" fontId="0" fillId="0" borderId="19" xfId="0" applyNumberFormat="1" applyBorder="1" applyAlignment="1">
      <alignment horizontal="right" vertical="center" indent="1"/>
    </xf>
    <xf numFmtId="4" fontId="1" fillId="2" borderId="1" xfId="0" applyNumberFormat="1" applyFont="1" applyFill="1" applyBorder="1" applyAlignment="1">
      <alignment horizontal="right" vertical="center" indent="1"/>
    </xf>
    <xf numFmtId="4" fontId="0" fillId="0" borderId="21" xfId="0" applyNumberFormat="1" applyBorder="1" applyAlignment="1">
      <alignment horizontal="right" vertical="center" indent="1"/>
    </xf>
    <xf numFmtId="0" fontId="1" fillId="2" borderId="23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left" vertical="center" indent="1"/>
    </xf>
    <xf numFmtId="0" fontId="0" fillId="10" borderId="25" xfId="0" applyFill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2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5" xfId="0" applyBorder="1" applyAlignment="1">
      <alignment horizontal="left" vertical="center" indent="1"/>
    </xf>
    <xf numFmtId="4" fontId="0" fillId="9" borderId="25" xfId="0" applyNumberFormat="1" applyFill="1" applyBorder="1" applyAlignment="1">
      <alignment horizontal="right" vertical="center" indent="1"/>
    </xf>
    <xf numFmtId="4" fontId="0" fillId="9" borderId="4" xfId="0" applyNumberFormat="1" applyFill="1" applyBorder="1" applyAlignment="1">
      <alignment horizontal="right" vertical="center" indent="1"/>
    </xf>
    <xf numFmtId="4" fontId="0" fillId="9" borderId="3" xfId="0" applyNumberFormat="1" applyFill="1" applyBorder="1" applyAlignment="1">
      <alignment horizontal="right" vertical="center" indent="1"/>
    </xf>
    <xf numFmtId="4" fontId="0" fillId="0" borderId="25" xfId="0" applyNumberFormat="1" applyBorder="1" applyAlignment="1">
      <alignment horizontal="right" vertical="center" indent="1"/>
    </xf>
    <xf numFmtId="4" fontId="0" fillId="0" borderId="3" xfId="0" applyNumberFormat="1" applyBorder="1" applyAlignment="1">
      <alignment horizontal="right" vertical="center" indent="1"/>
    </xf>
    <xf numFmtId="4" fontId="0" fillId="9" borderId="6" xfId="0" applyNumberFormat="1" applyFill="1" applyBorder="1" applyAlignment="1">
      <alignment horizontal="right" vertical="center" indent="1"/>
    </xf>
    <xf numFmtId="4" fontId="0" fillId="9" borderId="5" xfId="0" applyNumberFormat="1" applyFill="1" applyBorder="1" applyAlignment="1">
      <alignment horizontal="right" vertical="center" indent="1"/>
    </xf>
    <xf numFmtId="4" fontId="0" fillId="9" borderId="7" xfId="0" applyNumberForma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4" fontId="0" fillId="10" borderId="4" xfId="0" applyNumberFormat="1" applyFill="1" applyBorder="1" applyAlignment="1">
      <alignment horizontal="right" vertical="center" indent="1"/>
    </xf>
    <xf numFmtId="0" fontId="0" fillId="0" borderId="23" xfId="0" applyBorder="1" applyAlignment="1">
      <alignment horizontal="left" vertical="center" indent="2"/>
    </xf>
    <xf numFmtId="4" fontId="0" fillId="0" borderId="23" xfId="0" applyNumberFormat="1" applyBorder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0" fillId="0" borderId="2" xfId="0" applyNumberFormat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2"/>
    </xf>
    <xf numFmtId="4" fontId="0" fillId="0" borderId="6" xfId="0" applyNumberFormat="1" applyBorder="1" applyAlignment="1">
      <alignment horizontal="right" vertical="center" indent="1"/>
    </xf>
    <xf numFmtId="4" fontId="0" fillId="0" borderId="5" xfId="0" applyNumberFormat="1" applyBorder="1" applyAlignment="1">
      <alignment horizontal="right" vertical="center" indent="1"/>
    </xf>
    <xf numFmtId="4" fontId="0" fillId="0" borderId="7" xfId="0" applyNumberFormat="1" applyBorder="1" applyAlignment="1">
      <alignment horizontal="right" vertical="center" indent="1"/>
    </xf>
    <xf numFmtId="0" fontId="0" fillId="0" borderId="5" xfId="0" applyBorder="1" applyAlignment="1">
      <alignment horizontal="left" vertical="center" indent="1"/>
    </xf>
    <xf numFmtId="0" fontId="0" fillId="9" borderId="19" xfId="0" applyFill="1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4" fontId="0" fillId="10" borderId="19" xfId="0" applyNumberFormat="1" applyFill="1" applyBorder="1" applyAlignment="1">
      <alignment horizontal="right" vertical="center" indent="1"/>
    </xf>
    <xf numFmtId="4" fontId="0" fillId="0" borderId="8" xfId="0" applyNumberFormat="1" applyBorder="1" applyAlignment="1">
      <alignment horizontal="right" vertical="center" indent="1"/>
    </xf>
    <xf numFmtId="4" fontId="0" fillId="0" borderId="27" xfId="0" applyNumberFormat="1" applyBorder="1" applyAlignment="1">
      <alignment horizontal="right" vertical="center" indent="1"/>
    </xf>
    <xf numFmtId="0" fontId="0" fillId="10" borderId="1" xfId="0" applyFill="1" applyBorder="1" applyAlignment="1">
      <alignment horizontal="left" vertical="center" indent="1"/>
    </xf>
    <xf numFmtId="4" fontId="0" fillId="10" borderId="1" xfId="0" applyNumberFormat="1" applyFill="1" applyBorder="1" applyAlignment="1">
      <alignment horizontal="right" vertical="center" indent="1"/>
    </xf>
    <xf numFmtId="4" fontId="0" fillId="9" borderId="19" xfId="0" applyNumberFormat="1" applyFill="1" applyBorder="1" applyAlignment="1">
      <alignment horizontal="right" vertical="center" indent="1"/>
    </xf>
    <xf numFmtId="4" fontId="0" fillId="9" borderId="13" xfId="0" applyNumberFormat="1" applyFill="1" applyBorder="1" applyAlignment="1">
      <alignment horizontal="right" vertical="center" indent="1"/>
    </xf>
    <xf numFmtId="0" fontId="0" fillId="10" borderId="5" xfId="0" applyFill="1" applyBorder="1" applyAlignment="1">
      <alignment horizontal="left" vertical="center" indent="1"/>
    </xf>
    <xf numFmtId="4" fontId="0" fillId="10" borderId="5" xfId="0" applyNumberFormat="1" applyFill="1" applyBorder="1" applyAlignment="1">
      <alignment horizontal="right" vertical="center" indent="1"/>
    </xf>
    <xf numFmtId="0" fontId="0" fillId="10" borderId="25" xfId="0" applyFill="1" applyBorder="1" applyAlignment="1">
      <alignment horizontal="left" vertical="center" indent="2"/>
    </xf>
    <xf numFmtId="0" fontId="0" fillId="0" borderId="25" xfId="0" applyBorder="1" applyAlignment="1">
      <alignment horizontal="left" vertical="center" indent="3"/>
    </xf>
    <xf numFmtId="0" fontId="0" fillId="0" borderId="6" xfId="0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4" fontId="0" fillId="2" borderId="6" xfId="0" applyNumberFormat="1" applyFill="1" applyBorder="1" applyAlignment="1">
      <alignment horizontal="right" vertical="center" indent="1"/>
    </xf>
    <xf numFmtId="4" fontId="0" fillId="2" borderId="5" xfId="0" applyNumberFormat="1" applyFill="1" applyBorder="1" applyAlignment="1">
      <alignment horizontal="right" vertical="center" indent="1"/>
    </xf>
    <xf numFmtId="4" fontId="0" fillId="2" borderId="7" xfId="0" applyNumberFormat="1" applyFill="1" applyBorder="1" applyAlignment="1">
      <alignment horizontal="right" vertical="center" indent="1"/>
    </xf>
    <xf numFmtId="0" fontId="0" fillId="0" borderId="16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4" fontId="0" fillId="0" borderId="10" xfId="0" applyNumberFormat="1" applyBorder="1" applyAlignment="1">
      <alignment horizontal="right" vertical="center" indent="1"/>
    </xf>
    <xf numFmtId="4" fontId="0" fillId="0" borderId="20" xfId="0" applyNumberFormat="1" applyBorder="1" applyAlignment="1">
      <alignment horizontal="right" vertical="center" indent="1"/>
    </xf>
    <xf numFmtId="0" fontId="0" fillId="0" borderId="26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20" fontId="0" fillId="0" borderId="5" xfId="0" applyNumberFormat="1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4" fontId="0" fillId="0" borderId="28" xfId="0" applyNumberFormat="1" applyBorder="1" applyAlignment="1">
      <alignment horizontal="right" vertical="center" indent="1"/>
    </xf>
    <xf numFmtId="0" fontId="0" fillId="0" borderId="19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2"/>
    </xf>
    <xf numFmtId="4" fontId="0" fillId="0" borderId="29" xfId="0" applyNumberFormat="1" applyBorder="1" applyAlignment="1">
      <alignment horizontal="right" vertical="center" indent="1"/>
    </xf>
    <xf numFmtId="4" fontId="0" fillId="0" borderId="30" xfId="0" applyNumberFormat="1" applyBorder="1" applyAlignment="1">
      <alignment horizontal="right" vertical="center" indent="1"/>
    </xf>
    <xf numFmtId="0" fontId="0" fillId="0" borderId="31" xfId="0" applyBorder="1" applyAlignment="1">
      <alignment horizontal="left" vertical="center" indent="2"/>
    </xf>
    <xf numFmtId="0" fontId="0" fillId="0" borderId="32" xfId="0" applyBorder="1" applyAlignment="1">
      <alignment horizontal="left" vertical="center" indent="2"/>
    </xf>
    <xf numFmtId="4" fontId="0" fillId="0" borderId="32" xfId="0" applyNumberFormat="1" applyBorder="1" applyAlignment="1">
      <alignment horizontal="right" vertical="center" indent="1"/>
    </xf>
    <xf numFmtId="4" fontId="0" fillId="0" borderId="33" xfId="0" applyNumberFormat="1" applyBorder="1" applyAlignment="1">
      <alignment horizontal="right" vertical="center" indent="1"/>
    </xf>
    <xf numFmtId="0" fontId="0" fillId="0" borderId="34" xfId="0" applyBorder="1" applyAlignment="1">
      <alignment horizontal="left" vertical="center" indent="2"/>
    </xf>
    <xf numFmtId="0" fontId="0" fillId="0" borderId="35" xfId="0" applyBorder="1" applyAlignment="1">
      <alignment horizontal="left" vertical="center" indent="2"/>
    </xf>
    <xf numFmtId="4" fontId="0" fillId="0" borderId="31" xfId="0" applyNumberFormat="1" applyBorder="1" applyAlignment="1">
      <alignment horizontal="right" vertical="center" indent="1"/>
    </xf>
    <xf numFmtId="4" fontId="0" fillId="9" borderId="18" xfId="0" applyNumberFormat="1" applyFill="1" applyBorder="1" applyAlignment="1">
      <alignment horizontal="right" vertical="center" indent="1"/>
    </xf>
    <xf numFmtId="4" fontId="0" fillId="0" borderId="36" xfId="0" applyNumberFormat="1" applyBorder="1" applyAlignment="1">
      <alignment horizontal="right" vertical="center" indent="1"/>
    </xf>
    <xf numFmtId="0" fontId="0" fillId="0" borderId="38" xfId="0" applyBorder="1" applyAlignment="1">
      <alignment horizontal="left" vertical="center" indent="2"/>
    </xf>
    <xf numFmtId="4" fontId="0" fillId="0" borderId="35" xfId="0" applyNumberFormat="1" applyBorder="1" applyAlignment="1">
      <alignment horizontal="right" vertical="center" indent="1"/>
    </xf>
    <xf numFmtId="0" fontId="0" fillId="9" borderId="17" xfId="0" applyFill="1" applyBorder="1" applyAlignment="1">
      <alignment horizontal="left" vertical="center" indent="1"/>
    </xf>
    <xf numFmtId="4" fontId="0" fillId="0" borderId="39" xfId="0" applyNumberFormat="1" applyBorder="1" applyAlignment="1">
      <alignment horizontal="right" vertical="center" indent="1"/>
    </xf>
    <xf numFmtId="4" fontId="0" fillId="0" borderId="14" xfId="0" applyNumberFormat="1" applyBorder="1" applyAlignment="1">
      <alignment horizontal="right" vertical="center" indent="1"/>
    </xf>
    <xf numFmtId="0" fontId="0" fillId="0" borderId="20" xfId="0" applyBorder="1" applyAlignment="1">
      <alignment horizontal="left" vertical="center" indent="1"/>
    </xf>
    <xf numFmtId="4" fontId="0" fillId="9" borderId="17" xfId="0" applyNumberFormat="1" applyFill="1" applyBorder="1" applyAlignment="1">
      <alignment horizontal="right" vertical="center" indent="1"/>
    </xf>
    <xf numFmtId="0" fontId="0" fillId="0" borderId="20" xfId="0" applyBorder="1" applyAlignment="1">
      <alignment horizontal="left" vertical="center" indent="2"/>
    </xf>
    <xf numFmtId="0" fontId="0" fillId="0" borderId="39" xfId="0" applyBorder="1" applyAlignment="1">
      <alignment horizontal="left" vertical="center" indent="2"/>
    </xf>
    <xf numFmtId="0" fontId="0" fillId="10" borderId="40" xfId="0" applyFill="1" applyBorder="1" applyAlignment="1">
      <alignment horizontal="left" vertical="center" indent="1"/>
    </xf>
    <xf numFmtId="4" fontId="0" fillId="10" borderId="40" xfId="0" applyNumberFormat="1" applyFill="1" applyBorder="1" applyAlignment="1">
      <alignment horizontal="right" vertical="center" indent="1"/>
    </xf>
    <xf numFmtId="4" fontId="0" fillId="10" borderId="41" xfId="0" applyNumberFormat="1" applyFill="1" applyBorder="1" applyAlignment="1">
      <alignment horizontal="right" vertical="center" indent="1"/>
    </xf>
    <xf numFmtId="4" fontId="0" fillId="10" borderId="32" xfId="0" applyNumberFormat="1" applyFill="1" applyBorder="1" applyAlignment="1">
      <alignment horizontal="right" vertical="center" indent="1"/>
    </xf>
    <xf numFmtId="4" fontId="0" fillId="10" borderId="31" xfId="0" applyNumberFormat="1" applyFill="1" applyBorder="1" applyAlignment="1">
      <alignment horizontal="right" vertical="center" indent="1"/>
    </xf>
    <xf numFmtId="0" fontId="0" fillId="10" borderId="41" xfId="0" applyFill="1" applyBorder="1" applyAlignment="1">
      <alignment horizontal="left" vertical="center" indent="1"/>
    </xf>
    <xf numFmtId="0" fontId="0" fillId="10" borderId="32" xfId="0" applyFill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3"/>
    </xf>
    <xf numFmtId="0" fontId="0" fillId="0" borderId="32" xfId="0" applyBorder="1" applyAlignment="1">
      <alignment horizontal="left" vertical="center" indent="3"/>
    </xf>
    <xf numFmtId="4" fontId="0" fillId="0" borderId="37" xfId="0" applyNumberFormat="1" applyBorder="1" applyAlignment="1">
      <alignment horizontal="right" vertical="center" indent="1"/>
    </xf>
    <xf numFmtId="0" fontId="0" fillId="0" borderId="34" xfId="0" applyBorder="1" applyAlignment="1">
      <alignment horizontal="left" vertical="center" indent="3"/>
    </xf>
    <xf numFmtId="0" fontId="0" fillId="0" borderId="42" xfId="0" applyBorder="1" applyAlignment="1">
      <alignment horizontal="left" vertical="center" indent="3"/>
    </xf>
    <xf numFmtId="4" fontId="0" fillId="0" borderId="42" xfId="0" applyNumberFormat="1" applyBorder="1" applyAlignment="1">
      <alignment horizontal="right" vertical="center" indent="1"/>
    </xf>
    <xf numFmtId="4" fontId="0" fillId="0" borderId="43" xfId="0" applyNumberFormat="1" applyBorder="1" applyAlignment="1">
      <alignment horizontal="right" vertical="center" indent="1"/>
    </xf>
    <xf numFmtId="4" fontId="0" fillId="0" borderId="34" xfId="0" applyNumberFormat="1" applyBorder="1" applyAlignment="1">
      <alignment horizontal="right" vertical="center" indent="1"/>
    </xf>
    <xf numFmtId="0" fontId="0" fillId="0" borderId="44" xfId="0" applyBorder="1" applyAlignment="1">
      <alignment horizontal="left" vertical="center" indent="2"/>
    </xf>
    <xf numFmtId="4" fontId="0" fillId="0" borderId="44" xfId="0" applyNumberFormat="1" applyBorder="1" applyAlignment="1">
      <alignment horizontal="right" vertical="center" indent="1"/>
    </xf>
    <xf numFmtId="4" fontId="0" fillId="0" borderId="41" xfId="0" applyNumberFormat="1" applyBorder="1" applyAlignment="1">
      <alignment horizontal="right" vertical="center" indent="1"/>
    </xf>
    <xf numFmtId="4" fontId="0" fillId="0" borderId="45" xfId="0" applyNumberFormat="1" applyBorder="1" applyAlignment="1">
      <alignment horizontal="right" vertical="center" indent="1"/>
    </xf>
    <xf numFmtId="0" fontId="0" fillId="0" borderId="39" xfId="0" applyBorder="1" applyAlignment="1">
      <alignment horizontal="left" vertical="center" indent="3"/>
    </xf>
    <xf numFmtId="4" fontId="0" fillId="10" borderId="46" xfId="0" applyNumberFormat="1" applyFill="1" applyBorder="1" applyAlignment="1">
      <alignment horizontal="right" vertical="center" indent="1"/>
    </xf>
    <xf numFmtId="4" fontId="0" fillId="10" borderId="10" xfId="0" applyNumberFormat="1" applyFill="1" applyBorder="1" applyAlignment="1">
      <alignment horizontal="right" vertical="center" indent="1"/>
    </xf>
    <xf numFmtId="4" fontId="0" fillId="10" borderId="47" xfId="0" applyNumberFormat="1" applyFill="1" applyBorder="1" applyAlignment="1">
      <alignment horizontal="right" vertical="center" indent="1"/>
    </xf>
    <xf numFmtId="0" fontId="0" fillId="0" borderId="48" xfId="0" applyBorder="1" applyAlignment="1">
      <alignment horizontal="left" vertical="center" indent="3"/>
    </xf>
    <xf numFmtId="4" fontId="0" fillId="0" borderId="48" xfId="0" applyNumberFormat="1" applyBorder="1" applyAlignment="1">
      <alignment horizontal="right" vertical="center" indent="1"/>
    </xf>
    <xf numFmtId="4" fontId="0" fillId="0" borderId="49" xfId="0" applyNumberFormat="1" applyBorder="1" applyAlignment="1">
      <alignment horizontal="right" vertical="center" indent="1"/>
    </xf>
    <xf numFmtId="0" fontId="0" fillId="10" borderId="21" xfId="0" applyFill="1" applyBorder="1" applyAlignment="1">
      <alignment horizontal="left" vertical="center" indent="2"/>
    </xf>
    <xf numFmtId="4" fontId="0" fillId="10" borderId="21" xfId="0" applyNumberFormat="1" applyFill="1" applyBorder="1" applyAlignment="1">
      <alignment horizontal="right" vertical="center" indent="1"/>
    </xf>
    <xf numFmtId="4" fontId="0" fillId="10" borderId="11" xfId="0" applyNumberFormat="1" applyFill="1" applyBorder="1" applyAlignment="1">
      <alignment horizontal="right" vertical="center" indent="1"/>
    </xf>
    <xf numFmtId="4" fontId="0" fillId="10" borderId="50" xfId="0" applyNumberFormat="1" applyFill="1" applyBorder="1" applyAlignment="1">
      <alignment horizontal="right" vertical="center" indent="1"/>
    </xf>
    <xf numFmtId="0" fontId="0" fillId="10" borderId="46" xfId="0" applyFill="1" applyBorder="1" applyAlignment="1">
      <alignment horizontal="left" vertical="center" indent="2"/>
    </xf>
    <xf numFmtId="4" fontId="0" fillId="0" borderId="50" xfId="0" applyNumberFormat="1" applyBorder="1" applyAlignment="1">
      <alignment horizontal="right" vertical="center" indent="1"/>
    </xf>
    <xf numFmtId="0" fontId="0" fillId="0" borderId="21" xfId="0" applyBorder="1" applyAlignment="1">
      <alignment horizontal="left" vertical="center" indent="3"/>
    </xf>
    <xf numFmtId="0" fontId="0" fillId="0" borderId="42" xfId="0" applyBorder="1" applyAlignment="1">
      <alignment horizontal="left" vertical="center" indent="2"/>
    </xf>
    <xf numFmtId="0" fontId="0" fillId="9" borderId="51" xfId="0" applyFill="1" applyBorder="1" applyAlignment="1">
      <alignment horizontal="left" vertical="center" indent="1"/>
    </xf>
    <xf numFmtId="4" fontId="0" fillId="9" borderId="52" xfId="0" applyNumberFormat="1" applyFill="1" applyBorder="1" applyAlignment="1">
      <alignment horizontal="right" vertical="center" indent="1"/>
    </xf>
    <xf numFmtId="0" fontId="0" fillId="0" borderId="53" xfId="0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31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7"/>
    </xf>
    <xf numFmtId="0" fontId="0" fillId="0" borderId="32" xfId="0" applyBorder="1" applyAlignment="1">
      <alignment horizontal="left" vertical="center" indent="7"/>
    </xf>
    <xf numFmtId="0" fontId="0" fillId="0" borderId="32" xfId="0" applyBorder="1" applyAlignment="1">
      <alignment horizontal="left" vertical="center" indent="8"/>
    </xf>
    <xf numFmtId="4" fontId="0" fillId="0" borderId="54" xfId="0" applyNumberFormat="1" applyBorder="1" applyAlignment="1">
      <alignment horizontal="right" vertical="center" indent="1"/>
    </xf>
    <xf numFmtId="0" fontId="0" fillId="0" borderId="32" xfId="0" applyBorder="1" applyAlignment="1">
      <alignment horizontal="left" vertical="center" indent="6"/>
    </xf>
    <xf numFmtId="0" fontId="0" fillId="0" borderId="32" xfId="0" applyBorder="1" applyAlignment="1">
      <alignment horizontal="left" vertical="center" indent="5"/>
    </xf>
    <xf numFmtId="0" fontId="0" fillId="0" borderId="32" xfId="0" applyBorder="1" applyAlignment="1">
      <alignment horizontal="left" vertical="center" indent="4"/>
    </xf>
    <xf numFmtId="0" fontId="0" fillId="0" borderId="29" xfId="0" applyBorder="1" applyAlignment="1">
      <alignment horizontal="left" vertical="center" indent="3"/>
    </xf>
    <xf numFmtId="0" fontId="0" fillId="0" borderId="25" xfId="0" applyBorder="1"/>
    <xf numFmtId="0" fontId="0" fillId="0" borderId="35" xfId="0" applyBorder="1" applyAlignment="1">
      <alignment horizontal="left" vertical="center" indent="7"/>
    </xf>
    <xf numFmtId="0" fontId="0" fillId="0" borderId="37" xfId="0" applyBorder="1" applyAlignment="1">
      <alignment horizontal="left" vertical="center" indent="7"/>
    </xf>
    <xf numFmtId="4" fontId="0" fillId="0" borderId="55" xfId="0" applyNumberFormat="1" applyBorder="1" applyAlignment="1">
      <alignment horizontal="right" vertical="center" indent="1"/>
    </xf>
    <xf numFmtId="0" fontId="1" fillId="4" borderId="11" xfId="0" applyFont="1" applyFill="1" applyBorder="1" applyAlignment="1">
      <alignment horizontal="left" vertical="center" indent="6"/>
    </xf>
    <xf numFmtId="4" fontId="1" fillId="4" borderId="11" xfId="0" applyNumberFormat="1" applyFont="1" applyFill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8"/>
    </xf>
    <xf numFmtId="0" fontId="1" fillId="4" borderId="11" xfId="0" applyFont="1" applyFill="1" applyBorder="1" applyAlignment="1">
      <alignment horizontal="left" vertical="center" indent="7"/>
    </xf>
    <xf numFmtId="4" fontId="0" fillId="0" borderId="56" xfId="0" applyNumberFormat="1" applyBorder="1" applyAlignment="1">
      <alignment horizontal="right" vertical="center" indent="1"/>
    </xf>
    <xf numFmtId="0" fontId="0" fillId="0" borderId="37" xfId="0" applyBorder="1" applyAlignment="1">
      <alignment horizontal="left" vertical="center" indent="6"/>
    </xf>
    <xf numFmtId="4" fontId="1" fillId="4" borderId="12" xfId="0" applyNumberFormat="1" applyFont="1" applyFill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6"/>
    </xf>
    <xf numFmtId="0" fontId="0" fillId="0" borderId="37" xfId="0" applyBorder="1" applyAlignment="1">
      <alignment horizontal="left" vertical="center" indent="5"/>
    </xf>
    <xf numFmtId="0" fontId="1" fillId="3" borderId="11" xfId="0" applyFont="1" applyFill="1" applyBorder="1" applyAlignment="1">
      <alignment horizontal="left" vertical="center" indent="5"/>
    </xf>
    <xf numFmtId="4" fontId="1" fillId="3" borderId="12" xfId="0" applyNumberFormat="1" applyFont="1" applyFill="1" applyBorder="1" applyAlignment="1">
      <alignment horizontal="right" vertical="center" indent="1"/>
    </xf>
    <xf numFmtId="4" fontId="1" fillId="3" borderId="11" xfId="0" applyNumberFormat="1" applyFont="1" applyFill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5"/>
    </xf>
    <xf numFmtId="0" fontId="0" fillId="0" borderId="37" xfId="0" applyBorder="1" applyAlignment="1">
      <alignment horizontal="left" vertical="center" indent="4"/>
    </xf>
    <xf numFmtId="0" fontId="1" fillId="8" borderId="11" xfId="0" applyFont="1" applyFill="1" applyBorder="1" applyAlignment="1">
      <alignment horizontal="left" vertical="center" indent="4"/>
    </xf>
    <xf numFmtId="4" fontId="1" fillId="8" borderId="11" xfId="0" applyNumberFormat="1" applyFont="1" applyFill="1" applyBorder="1" applyAlignment="1">
      <alignment horizontal="right" vertical="center" indent="1"/>
    </xf>
    <xf numFmtId="4" fontId="1" fillId="8" borderId="50" xfId="0" applyNumberFormat="1" applyFont="1" applyFill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4"/>
    </xf>
    <xf numFmtId="0" fontId="0" fillId="0" borderId="37" xfId="0" applyBorder="1" applyAlignment="1">
      <alignment horizontal="left" vertical="center" indent="3"/>
    </xf>
    <xf numFmtId="0" fontId="1" fillId="7" borderId="11" xfId="0" applyFont="1" applyFill="1" applyBorder="1" applyAlignment="1">
      <alignment horizontal="left" vertical="center" indent="3"/>
    </xf>
    <xf numFmtId="4" fontId="1" fillId="7" borderId="12" xfId="0" applyNumberFormat="1" applyFont="1" applyFill="1" applyBorder="1" applyAlignment="1">
      <alignment horizontal="right" vertical="center" indent="1"/>
    </xf>
    <xf numFmtId="4" fontId="1" fillId="7" borderId="11" xfId="0" applyNumberFormat="1" applyFont="1" applyFill="1" applyBorder="1" applyAlignment="1">
      <alignment horizontal="right" vertical="center" indent="1"/>
    </xf>
    <xf numFmtId="4" fontId="4" fillId="6" borderId="26" xfId="0" applyNumberFormat="1" applyFont="1" applyFill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3"/>
    </xf>
    <xf numFmtId="0" fontId="5" fillId="0" borderId="4" xfId="0" applyFont="1" applyBorder="1" applyAlignment="1">
      <alignment horizontal="left" vertical="center" indent="2"/>
    </xf>
    <xf numFmtId="4" fontId="5" fillId="0" borderId="0" xfId="0" applyNumberFormat="1" applyFont="1" applyAlignment="1">
      <alignment horizontal="right" vertical="center" indent="1"/>
    </xf>
    <xf numFmtId="4" fontId="5" fillId="0" borderId="37" xfId="0" applyNumberFormat="1" applyFont="1" applyBorder="1" applyAlignment="1">
      <alignment horizontal="right" vertical="center" indent="1"/>
    </xf>
    <xf numFmtId="0" fontId="4" fillId="6" borderId="11" xfId="0" applyFont="1" applyFill="1" applyBorder="1" applyAlignment="1">
      <alignment horizontal="left" vertical="center" indent="2"/>
    </xf>
    <xf numFmtId="4" fontId="4" fillId="6" borderId="12" xfId="0" applyNumberFormat="1" applyFont="1" applyFill="1" applyBorder="1" applyAlignment="1">
      <alignment horizontal="right" vertical="center" indent="1"/>
    </xf>
    <xf numFmtId="4" fontId="4" fillId="6" borderId="11" xfId="0" applyNumberFormat="1" applyFont="1" applyFill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right" vertical="center" indent="1"/>
    </xf>
    <xf numFmtId="4" fontId="4" fillId="5" borderId="18" xfId="0" applyNumberFormat="1" applyFont="1" applyFill="1" applyBorder="1" applyAlignment="1">
      <alignment horizontal="right" vertical="center" indent="1"/>
    </xf>
    <xf numFmtId="0" fontId="5" fillId="0" borderId="35" xfId="0" applyFont="1" applyBorder="1" applyAlignment="1">
      <alignment horizontal="left" vertical="center" indent="2"/>
    </xf>
    <xf numFmtId="4" fontId="5" fillId="0" borderId="35" xfId="0" applyNumberFormat="1" applyFont="1" applyBorder="1" applyAlignment="1">
      <alignment horizontal="right" vertical="center" indent="1"/>
    </xf>
    <xf numFmtId="0" fontId="4" fillId="5" borderId="19" xfId="0" applyFont="1" applyFill="1" applyBorder="1" applyAlignment="1">
      <alignment horizontal="left" vertical="center" indent="1"/>
    </xf>
    <xf numFmtId="0" fontId="4" fillId="5" borderId="11" xfId="0" applyFont="1" applyFill="1" applyBorder="1" applyAlignment="1">
      <alignment horizontal="left" vertical="center" indent="1"/>
    </xf>
    <xf numFmtId="4" fontId="4" fillId="5" borderId="19" xfId="0" applyNumberFormat="1" applyFont="1" applyFill="1" applyBorder="1" applyAlignment="1">
      <alignment horizontal="right" vertical="center" indent="1"/>
    </xf>
    <xf numFmtId="4" fontId="4" fillId="5" borderId="11" xfId="0" applyNumberFormat="1" applyFont="1" applyFill="1" applyBorder="1" applyAlignment="1">
      <alignment horizontal="right" vertical="center" indent="1"/>
    </xf>
    <xf numFmtId="4" fontId="4" fillId="5" borderId="17" xfId="0" applyNumberFormat="1" applyFont="1" applyFill="1" applyBorder="1" applyAlignment="1">
      <alignment horizontal="right" vertical="center" indent="1"/>
    </xf>
    <xf numFmtId="0" fontId="0" fillId="0" borderId="32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2"/>
    </xf>
    <xf numFmtId="0" fontId="0" fillId="0" borderId="37" xfId="0" applyBorder="1" applyAlignment="1">
      <alignment horizontal="left" vertical="center" indent="8"/>
    </xf>
    <xf numFmtId="14" fontId="0" fillId="0" borderId="0" xfId="0" quotePrefix="1" applyNumberFormat="1"/>
    <xf numFmtId="0" fontId="1" fillId="11" borderId="5" xfId="0" applyFont="1" applyFill="1" applyBorder="1" applyAlignment="1">
      <alignment horizontal="left" vertical="center" indent="1"/>
    </xf>
    <xf numFmtId="4" fontId="1" fillId="11" borderId="5" xfId="0" applyNumberFormat="1" applyFont="1" applyFill="1" applyBorder="1" applyAlignment="1">
      <alignment horizontal="right" vertical="center" indent="1"/>
    </xf>
    <xf numFmtId="4" fontId="1" fillId="11" borderId="40" xfId="0" applyNumberFormat="1" applyFont="1" applyFill="1" applyBorder="1" applyAlignment="1">
      <alignment horizontal="right" vertical="center" indent="1"/>
    </xf>
    <xf numFmtId="0" fontId="0" fillId="0" borderId="19" xfId="0" applyBorder="1" applyAlignment="1">
      <alignment horizontal="left" vertical="center" indent="2"/>
    </xf>
    <xf numFmtId="0" fontId="0" fillId="0" borderId="37" xfId="0" applyBorder="1" applyAlignment="1">
      <alignment horizontal="left" vertical="center" indent="2"/>
    </xf>
    <xf numFmtId="0" fontId="1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indent="4"/>
    </xf>
    <xf numFmtId="0" fontId="6" fillId="0" borderId="32" xfId="0" applyFont="1" applyBorder="1" applyAlignment="1">
      <alignment horizontal="left" vertical="center" indent="2"/>
    </xf>
    <xf numFmtId="0" fontId="6" fillId="0" borderId="32" xfId="0" quotePrefix="1" applyFont="1" applyBorder="1" applyAlignment="1">
      <alignment horizontal="left" vertical="center" indent="4"/>
    </xf>
    <xf numFmtId="0" fontId="6" fillId="0" borderId="31" xfId="0" applyFont="1" applyBorder="1" applyAlignment="1">
      <alignment horizontal="left" vertical="center" indent="4"/>
    </xf>
    <xf numFmtId="49" fontId="6" fillId="0" borderId="32" xfId="0" applyNumberFormat="1" applyFont="1" applyBorder="1" applyAlignment="1">
      <alignment horizontal="left" vertical="center" indent="4"/>
    </xf>
    <xf numFmtId="0" fontId="6" fillId="0" borderId="39" xfId="0" applyFont="1" applyBorder="1" applyAlignment="1">
      <alignment horizontal="left" vertical="center" indent="2"/>
    </xf>
    <xf numFmtId="0" fontId="6" fillId="0" borderId="35" xfId="0" applyFont="1" applyBorder="1" applyAlignment="1">
      <alignment horizontal="left" vertical="center" indent="4"/>
    </xf>
    <xf numFmtId="0" fontId="6" fillId="0" borderId="20" xfId="0" applyFont="1" applyBorder="1" applyAlignment="1">
      <alignment horizontal="left" vertical="center" indent="2"/>
    </xf>
    <xf numFmtId="0" fontId="6" fillId="0" borderId="35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2"/>
    </xf>
    <xf numFmtId="0" fontId="1" fillId="12" borderId="5" xfId="0" applyFont="1" applyFill="1" applyBorder="1" applyAlignment="1">
      <alignment horizontal="left" vertical="center" indent="1"/>
    </xf>
    <xf numFmtId="4" fontId="1" fillId="12" borderId="5" xfId="0" applyNumberFormat="1" applyFont="1" applyFill="1" applyBorder="1" applyAlignment="1">
      <alignment horizontal="right" vertical="center" indent="1"/>
    </xf>
    <xf numFmtId="0" fontId="8" fillId="12" borderId="1" xfId="0" applyFont="1" applyFill="1" applyBorder="1" applyAlignment="1">
      <alignment horizontal="left" vertical="center" indent="1"/>
    </xf>
    <xf numFmtId="0" fontId="8" fillId="12" borderId="18" xfId="0" applyFont="1" applyFill="1" applyBorder="1" applyAlignment="1">
      <alignment horizontal="left" vertical="center" indent="1"/>
    </xf>
    <xf numFmtId="0" fontId="8" fillId="13" borderId="20" xfId="0" applyFont="1" applyFill="1" applyBorder="1" applyAlignment="1">
      <alignment horizontal="left" vertical="center" indent="1"/>
    </xf>
    <xf numFmtId="0" fontId="8" fillId="13" borderId="18" xfId="0" applyFont="1" applyFill="1" applyBorder="1" applyAlignment="1">
      <alignment horizontal="left" vertical="center" indent="1"/>
    </xf>
    <xf numFmtId="0" fontId="8" fillId="13" borderId="4" xfId="0" applyFont="1" applyFill="1" applyBorder="1" applyAlignment="1">
      <alignment horizontal="left" vertical="center" indent="1"/>
    </xf>
    <xf numFmtId="0" fontId="8" fillId="13" borderId="5" xfId="0" applyFont="1" applyFill="1" applyBorder="1" applyAlignment="1">
      <alignment horizontal="left" vertical="center" indent="1"/>
    </xf>
    <xf numFmtId="0" fontId="8" fillId="13" borderId="51" xfId="0" applyFont="1" applyFill="1" applyBorder="1" applyAlignment="1">
      <alignment horizontal="left" vertical="center" indent="1"/>
    </xf>
    <xf numFmtId="0" fontId="8" fillId="13" borderId="19" xfId="0" applyFont="1" applyFill="1" applyBorder="1" applyAlignment="1">
      <alignment horizontal="left" vertical="center" indent="1"/>
    </xf>
    <xf numFmtId="0" fontId="7" fillId="14" borderId="31" xfId="0" applyFont="1" applyFill="1" applyBorder="1" applyAlignment="1">
      <alignment horizontal="left" vertical="center" indent="2"/>
    </xf>
    <xf numFmtId="0" fontId="7" fillId="14" borderId="39" xfId="0" applyFont="1" applyFill="1" applyBorder="1" applyAlignment="1">
      <alignment horizontal="left" vertical="center" indent="2"/>
    </xf>
    <xf numFmtId="0" fontId="0" fillId="0" borderId="0" xfId="0" applyAlignment="1">
      <alignment horizontal="right"/>
    </xf>
    <xf numFmtId="164" fontId="9" fillId="13" borderId="17" xfId="0" applyNumberFormat="1" applyFont="1" applyFill="1" applyBorder="1" applyAlignment="1">
      <alignment horizontal="right" vertical="center"/>
    </xf>
    <xf numFmtId="164" fontId="5" fillId="0" borderId="37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164" fontId="5" fillId="0" borderId="31" xfId="0" applyNumberFormat="1" applyFont="1" applyBorder="1" applyAlignment="1">
      <alignment horizontal="right" vertical="center"/>
    </xf>
    <xf numFmtId="164" fontId="8" fillId="14" borderId="31" xfId="0" applyNumberFormat="1" applyFont="1" applyFill="1" applyBorder="1" applyAlignment="1">
      <alignment horizontal="right" vertical="center"/>
    </xf>
    <xf numFmtId="164" fontId="8" fillId="14" borderId="4" xfId="0" applyNumberFormat="1" applyFont="1" applyFill="1" applyBorder="1" applyAlignment="1">
      <alignment horizontal="right" vertical="center"/>
    </xf>
    <xf numFmtId="164" fontId="8" fillId="14" borderId="39" xfId="0" applyNumberFormat="1" applyFont="1" applyFill="1" applyBorder="1" applyAlignment="1">
      <alignment horizontal="right" vertical="center"/>
    </xf>
    <xf numFmtId="164" fontId="5" fillId="0" borderId="54" xfId="0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164" fontId="8" fillId="13" borderId="5" xfId="0" applyNumberFormat="1" applyFont="1" applyFill="1" applyBorder="1" applyAlignment="1">
      <alignment horizontal="right" vertical="center"/>
    </xf>
    <xf numFmtId="164" fontId="8" fillId="13" borderId="18" xfId="0" applyNumberFormat="1" applyFont="1" applyFill="1" applyBorder="1" applyAlignment="1">
      <alignment horizontal="right" vertical="center"/>
    </xf>
    <xf numFmtId="164" fontId="9" fillId="13" borderId="57" xfId="0" applyNumberFormat="1" applyFont="1" applyFill="1" applyBorder="1" applyAlignment="1">
      <alignment horizontal="right" vertical="center"/>
    </xf>
    <xf numFmtId="164" fontId="9" fillId="13" borderId="19" xfId="0" applyNumberFormat="1" applyFont="1" applyFill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/>
    </xf>
    <xf numFmtId="164" fontId="5" fillId="0" borderId="3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9" xfId="0" applyNumberFormat="1" applyFont="1" applyBorder="1" applyAlignment="1">
      <alignment horizontal="right" vertical="center"/>
    </xf>
    <xf numFmtId="164" fontId="5" fillId="0" borderId="47" xfId="0" applyNumberFormat="1" applyFont="1" applyBorder="1" applyAlignment="1">
      <alignment horizontal="right" vertical="center"/>
    </xf>
    <xf numFmtId="164" fontId="8" fillId="13" borderId="58" xfId="0" applyNumberFormat="1" applyFont="1" applyFill="1" applyBorder="1" applyAlignment="1">
      <alignment horizontal="right" vertical="center"/>
    </xf>
    <xf numFmtId="164" fontId="9" fillId="13" borderId="3" xfId="0" applyNumberFormat="1" applyFont="1" applyFill="1" applyBorder="1" applyAlignment="1">
      <alignment horizontal="right" vertical="center"/>
    </xf>
    <xf numFmtId="164" fontId="5" fillId="0" borderId="43" xfId="0" applyNumberFormat="1" applyFont="1" applyBorder="1" applyAlignment="1">
      <alignment horizontal="right" vertical="center"/>
    </xf>
    <xf numFmtId="164" fontId="8" fillId="13" borderId="3" xfId="0" applyNumberFormat="1" applyFont="1" applyFill="1" applyBorder="1" applyAlignment="1">
      <alignment horizontal="right" vertical="center"/>
    </xf>
    <xf numFmtId="164" fontId="8" fillId="12" borderId="2" xfId="0" applyNumberFormat="1" applyFont="1" applyFill="1" applyBorder="1" applyAlignment="1">
      <alignment horizontal="right" vertical="center"/>
    </xf>
    <xf numFmtId="164" fontId="8" fillId="12" borderId="58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" fillId="0" borderId="59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15" borderId="0" xfId="0" applyFill="1"/>
    <xf numFmtId="0" fontId="0" fillId="15" borderId="60" xfId="0" applyFill="1" applyBorder="1"/>
    <xf numFmtId="0" fontId="0" fillId="15" borderId="67" xfId="0" applyFill="1" applyBorder="1"/>
    <xf numFmtId="0" fontId="0" fillId="15" borderId="66" xfId="0" applyFill="1" applyBorder="1"/>
    <xf numFmtId="0" fontId="0" fillId="15" borderId="61" xfId="0" applyFill="1" applyBorder="1"/>
    <xf numFmtId="0" fontId="0" fillId="15" borderId="69" xfId="0" applyFill="1" applyBorder="1" applyAlignment="1">
      <alignment horizontal="left" indent="2"/>
    </xf>
    <xf numFmtId="0" fontId="0" fillId="15" borderId="61" xfId="0" applyFill="1" applyBorder="1" applyAlignment="1">
      <alignment horizontal="left" indent="2"/>
    </xf>
    <xf numFmtId="0" fontId="0" fillId="15" borderId="71" xfId="0" applyFill="1" applyBorder="1" applyAlignment="1">
      <alignment horizontal="left" indent="2"/>
    </xf>
    <xf numFmtId="49" fontId="0" fillId="15" borderId="69" xfId="0" applyNumberFormat="1" applyFill="1" applyBorder="1" applyAlignment="1">
      <alignment horizontal="left" indent="4"/>
    </xf>
    <xf numFmtId="49" fontId="0" fillId="15" borderId="71" xfId="0" applyNumberFormat="1" applyFill="1" applyBorder="1" applyAlignment="1">
      <alignment horizontal="left" indent="4"/>
    </xf>
    <xf numFmtId="0" fontId="0" fillId="15" borderId="71" xfId="0" applyFill="1" applyBorder="1"/>
    <xf numFmtId="0" fontId="0" fillId="15" borderId="73" xfId="0" applyFill="1" applyBorder="1"/>
    <xf numFmtId="0" fontId="0" fillId="15" borderId="62" xfId="0" applyFill="1" applyBorder="1"/>
    <xf numFmtId="0" fontId="0" fillId="15" borderId="63" xfId="0" applyFill="1" applyBorder="1"/>
    <xf numFmtId="0" fontId="11" fillId="11" borderId="64" xfId="0" applyFont="1" applyFill="1" applyBorder="1" applyAlignment="1">
      <alignment horizontal="center" vertical="center"/>
    </xf>
    <xf numFmtId="0" fontId="11" fillId="11" borderId="65" xfId="0" applyFont="1" applyFill="1" applyBorder="1" applyAlignment="1">
      <alignment horizontal="center"/>
    </xf>
    <xf numFmtId="0" fontId="1" fillId="15" borderId="64" xfId="0" applyFont="1" applyFill="1" applyBorder="1" applyAlignment="1">
      <alignment horizontal="left" indent="4"/>
    </xf>
    <xf numFmtId="0" fontId="1" fillId="15" borderId="65" xfId="0" applyFont="1" applyFill="1" applyBorder="1" applyAlignment="1">
      <alignment horizontal="left" indent="4"/>
    </xf>
    <xf numFmtId="0" fontId="12" fillId="15" borderId="0" xfId="0" applyFont="1" applyFill="1" applyAlignment="1">
      <alignment horizontal="left" indent="1"/>
    </xf>
    <xf numFmtId="4" fontId="0" fillId="15" borderId="68" xfId="0" applyNumberFormat="1" applyFill="1" applyBorder="1"/>
    <xf numFmtId="4" fontId="0" fillId="15" borderId="67" xfId="0" applyNumberFormat="1" applyFill="1" applyBorder="1"/>
    <xf numFmtId="4" fontId="0" fillId="15" borderId="66" xfId="0" applyNumberFormat="1" applyFill="1" applyBorder="1"/>
    <xf numFmtId="4" fontId="0" fillId="15" borderId="61" xfId="0" applyNumberFormat="1" applyFill="1" applyBorder="1"/>
    <xf numFmtId="4" fontId="0" fillId="15" borderId="70" xfId="0" applyNumberFormat="1" applyFill="1" applyBorder="1"/>
    <xf numFmtId="4" fontId="0" fillId="15" borderId="72" xfId="0" applyNumberFormat="1" applyFill="1" applyBorder="1"/>
    <xf numFmtId="4" fontId="0" fillId="15" borderId="74" xfId="0" applyNumberFormat="1" applyFill="1" applyBorder="1"/>
    <xf numFmtId="4" fontId="0" fillId="15" borderId="62" xfId="0" applyNumberFormat="1" applyFill="1" applyBorder="1"/>
    <xf numFmtId="4" fontId="1" fillId="15" borderId="65" xfId="0" applyNumberFormat="1" applyFont="1" applyFill="1" applyBorder="1"/>
    <xf numFmtId="4" fontId="0" fillId="15" borderId="69" xfId="0" applyNumberFormat="1" applyFill="1" applyBorder="1"/>
    <xf numFmtId="3" fontId="14" fillId="15" borderId="0" xfId="1" applyNumberFormat="1" applyFont="1" applyFill="1" applyAlignment="1">
      <alignment horizontal="left" vertical="top"/>
    </xf>
    <xf numFmtId="3" fontId="15" fillId="15" borderId="0" xfId="1" applyNumberFormat="1" applyFont="1" applyFill="1" applyAlignment="1">
      <alignment horizontal="left" vertical="top" indent="1"/>
    </xf>
    <xf numFmtId="3" fontId="15" fillId="15" borderId="0" xfId="1" applyNumberFormat="1" applyFont="1" applyFill="1" applyAlignment="1">
      <alignment horizontal="left" vertical="top"/>
    </xf>
    <xf numFmtId="3" fontId="14" fillId="15" borderId="0" xfId="1" applyNumberFormat="1" applyFont="1" applyFill="1" applyAlignment="1">
      <alignment horizontal="left" vertical="top" indent="1"/>
    </xf>
    <xf numFmtId="3" fontId="14" fillId="15" borderId="0" xfId="1" applyNumberFormat="1" applyFont="1" applyFill="1" applyAlignment="1">
      <alignment vertical="top"/>
    </xf>
    <xf numFmtId="0" fontId="0" fillId="15" borderId="64" xfId="0" applyFill="1" applyBorder="1"/>
    <xf numFmtId="0" fontId="0" fillId="17" borderId="64" xfId="0" applyFill="1" applyBorder="1"/>
    <xf numFmtId="0" fontId="1" fillId="15" borderId="64" xfId="0" applyFont="1" applyFill="1" applyBorder="1" applyAlignment="1">
      <alignment horizontal="left" indent="8"/>
    </xf>
    <xf numFmtId="0" fontId="1" fillId="15" borderId="64" xfId="0" applyFont="1" applyFill="1" applyBorder="1" applyAlignment="1">
      <alignment horizontal="left" indent="6"/>
    </xf>
    <xf numFmtId="0" fontId="0" fillId="17" borderId="75" xfId="0" applyFill="1" applyBorder="1"/>
    <xf numFmtId="0" fontId="0" fillId="17" borderId="62" xfId="0" applyFill="1" applyBorder="1"/>
    <xf numFmtId="0" fontId="0" fillId="15" borderId="75" xfId="0" applyFill="1" applyBorder="1"/>
    <xf numFmtId="0" fontId="0" fillId="15" borderId="75" xfId="0" applyFill="1" applyBorder="1" applyAlignment="1">
      <alignment horizontal="left" indent="2"/>
    </xf>
    <xf numFmtId="0" fontId="1" fillId="15" borderId="75" xfId="0" applyFont="1" applyFill="1" applyBorder="1"/>
    <xf numFmtId="0" fontId="0" fillId="15" borderId="60" xfId="0" applyFill="1" applyBorder="1" applyAlignment="1">
      <alignment horizontal="left" indent="2"/>
    </xf>
    <xf numFmtId="0" fontId="1" fillId="15" borderId="75" xfId="0" applyFont="1" applyFill="1" applyBorder="1" applyAlignment="1">
      <alignment horizontal="left" indent="8"/>
    </xf>
    <xf numFmtId="0" fontId="1" fillId="15" borderId="76" xfId="0" applyFont="1" applyFill="1" applyBorder="1" applyAlignment="1">
      <alignment wrapText="1"/>
    </xf>
    <xf numFmtId="0" fontId="0" fillId="15" borderId="77" xfId="0" applyFill="1" applyBorder="1"/>
    <xf numFmtId="0" fontId="0" fillId="15" borderId="78" xfId="0" applyFill="1" applyBorder="1"/>
    <xf numFmtId="0" fontId="0" fillId="15" borderId="79" xfId="0" applyFill="1" applyBorder="1"/>
    <xf numFmtId="0" fontId="0" fillId="17" borderId="60" xfId="0" applyFill="1" applyBorder="1"/>
    <xf numFmtId="0" fontId="1" fillId="16" borderId="64" xfId="0" applyFont="1" applyFill="1" applyBorder="1"/>
    <xf numFmtId="0" fontId="1" fillId="16" borderId="75" xfId="0" applyFont="1" applyFill="1" applyBorder="1" applyAlignment="1">
      <alignment horizontal="center"/>
    </xf>
    <xf numFmtId="0" fontId="1" fillId="16" borderId="62" xfId="0" applyFont="1" applyFill="1" applyBorder="1" applyAlignment="1">
      <alignment horizontal="center"/>
    </xf>
    <xf numFmtId="49" fontId="1" fillId="16" borderId="62" xfId="0" applyNumberFormat="1" applyFont="1" applyFill="1" applyBorder="1" applyAlignment="1">
      <alignment horizontal="center"/>
    </xf>
    <xf numFmtId="0" fontId="0" fillId="15" borderId="60" xfId="0" applyFill="1" applyBorder="1" applyAlignment="1">
      <alignment horizontal="left" indent="4"/>
    </xf>
    <xf numFmtId="0" fontId="0" fillId="15" borderId="80" xfId="0" applyFill="1" applyBorder="1" applyAlignment="1">
      <alignment horizontal="left" indent="4"/>
    </xf>
    <xf numFmtId="0" fontId="0" fillId="15" borderId="66" xfId="0" applyFill="1" applyBorder="1" applyAlignment="1">
      <alignment horizontal="left" indent="4"/>
    </xf>
    <xf numFmtId="0" fontId="0" fillId="15" borderId="80" xfId="0" applyFill="1" applyBorder="1" applyAlignment="1">
      <alignment horizontal="left" indent="2"/>
    </xf>
    <xf numFmtId="0" fontId="0" fillId="15" borderId="60" xfId="0" applyFill="1" applyBorder="1" applyAlignment="1">
      <alignment horizontal="left" indent="8"/>
    </xf>
    <xf numFmtId="0" fontId="0" fillId="15" borderId="80" xfId="0" applyFill="1" applyBorder="1" applyAlignment="1">
      <alignment horizontal="left" wrapText="1" indent="8"/>
    </xf>
    <xf numFmtId="0" fontId="0" fillId="15" borderId="70" xfId="0" applyFill="1" applyBorder="1"/>
    <xf numFmtId="0" fontId="1" fillId="15" borderId="82" xfId="0" applyFont="1" applyFill="1" applyBorder="1" applyAlignment="1">
      <alignment horizontal="left" indent="8"/>
    </xf>
    <xf numFmtId="0" fontId="1" fillId="15" borderId="81" xfId="0" applyFont="1" applyFill="1" applyBorder="1" applyAlignment="1">
      <alignment horizontal="left" wrapText="1" indent="8"/>
    </xf>
    <xf numFmtId="0" fontId="0" fillId="15" borderId="55" xfId="0" applyFill="1" applyBorder="1"/>
    <xf numFmtId="0" fontId="1" fillId="16" borderId="64" xfId="0" applyFont="1" applyFill="1" applyBorder="1" applyAlignment="1">
      <alignment horizontal="center"/>
    </xf>
    <xf numFmtId="4" fontId="0" fillId="15" borderId="60" xfId="0" applyNumberFormat="1" applyFill="1" applyBorder="1"/>
    <xf numFmtId="4" fontId="0" fillId="15" borderId="71" xfId="0" applyNumberFormat="1" applyFill="1" applyBorder="1"/>
    <xf numFmtId="4" fontId="0" fillId="15" borderId="80" xfId="0" applyNumberFormat="1" applyFill="1" applyBorder="1"/>
    <xf numFmtId="4" fontId="0" fillId="15" borderId="75" xfId="0" applyNumberFormat="1" applyFill="1" applyBorder="1"/>
    <xf numFmtId="4" fontId="0" fillId="15" borderId="64" xfId="0" applyNumberFormat="1" applyFill="1" applyBorder="1"/>
    <xf numFmtId="0" fontId="1" fillId="11" borderId="65" xfId="0" applyFont="1" applyFill="1" applyBorder="1" applyAlignment="1">
      <alignment horizontal="center"/>
    </xf>
    <xf numFmtId="0" fontId="0" fillId="15" borderId="0" xfId="0" applyFill="1" applyAlignment="1">
      <alignment horizontal="left" vertical="center" indent="1"/>
    </xf>
    <xf numFmtId="165" fontId="0" fillId="15" borderId="69" xfId="0" applyNumberFormat="1" applyFill="1" applyBorder="1"/>
    <xf numFmtId="166" fontId="0" fillId="15" borderId="69" xfId="0" applyNumberFormat="1" applyFill="1" applyBorder="1"/>
    <xf numFmtId="49" fontId="0" fillId="15" borderId="71" xfId="0" applyNumberFormat="1" applyFill="1" applyBorder="1" applyAlignment="1">
      <alignment horizontal="left" indent="2"/>
    </xf>
    <xf numFmtId="4" fontId="0" fillId="15" borderId="63" xfId="0" applyNumberFormat="1" applyFill="1" applyBorder="1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right" vertical="center"/>
    </xf>
    <xf numFmtId="0" fontId="1" fillId="16" borderId="64" xfId="0" applyFont="1" applyFill="1" applyBorder="1" applyAlignment="1">
      <alignment horizontal="center"/>
    </xf>
    <xf numFmtId="0" fontId="1" fillId="16" borderId="6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EA205ED8-68A5-44B3-AB78-535845C839DD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BBC8E4"/>
      <color rgb="FFC1DBFF"/>
      <color rgb="FF9BB5DB"/>
      <color rgb="FF7CA1D3"/>
      <color rgb="FF619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2"/>
  <sheetViews>
    <sheetView showGridLines="0" tabSelected="1" zoomScaleNormal="100" zoomScaleSheetLayoutView="70" workbookViewId="0"/>
  </sheetViews>
  <sheetFormatPr baseColWidth="10" defaultRowHeight="15" x14ac:dyDescent="0.25"/>
  <cols>
    <col min="1" max="1" width="3.7109375" customWidth="1"/>
    <col min="2" max="2" width="70.7109375" customWidth="1"/>
    <col min="3" max="6" width="20.7109375" customWidth="1"/>
  </cols>
  <sheetData>
    <row r="1" spans="2:6" ht="20.100000000000001" customHeight="1" x14ac:dyDescent="0.25">
      <c r="B1" s="2" t="str">
        <f>CONCATENATE("Période clôturée au : ",Donnees!K2)</f>
        <v>Période clôturée au : 31/12/2016</v>
      </c>
      <c r="C1" s="328" t="str">
        <f>CONCATENATE("Exercice du ",Donnees!M2," au ",Donnees!N2)</f>
        <v>Exercice du 01/01/2014 au 31/12/2014</v>
      </c>
      <c r="D1" s="328"/>
    </row>
    <row r="2" spans="2:6" ht="24.95" customHeight="1" x14ac:dyDescent="0.25">
      <c r="D2" s="329" t="s">
        <v>50</v>
      </c>
      <c r="E2" s="329"/>
    </row>
    <row r="3" spans="2:6" ht="20.100000000000001" customHeight="1" thickBot="1" x14ac:dyDescent="0.3">
      <c r="B3" s="2" t="str">
        <f>CONCATENATE("Etablissement : ",Donnees!B1," ",Donnees!C1)</f>
        <v>Etablissement : PB QUALIAC</v>
      </c>
    </row>
    <row r="4" spans="2:6" ht="20.100000000000001" customHeight="1" thickTop="1" thickBot="1" x14ac:dyDescent="0.3">
      <c r="B4" s="333" t="s">
        <v>1</v>
      </c>
      <c r="C4" s="330" t="str">
        <f>CONCATENATE(MID(Donnees!B2,4,7)," à ",MID(Donnees!C2,4,7))</f>
        <v>01/2013 à 12/2013</v>
      </c>
      <c r="D4" s="331"/>
      <c r="E4" s="332"/>
      <c r="F4" s="335" t="str">
        <f>CONCATENATE(MID(Donnees!E2,4,7)," à ",MID(Donnees!F2,4,7))</f>
        <v>01/2012 à 12/2012</v>
      </c>
    </row>
    <row r="5" spans="2:6" ht="20.100000000000001" customHeight="1" thickTop="1" thickBot="1" x14ac:dyDescent="0.3">
      <c r="B5" s="334"/>
      <c r="C5" s="29" t="s">
        <v>51</v>
      </c>
      <c r="D5" s="30" t="s">
        <v>52</v>
      </c>
      <c r="E5" s="30" t="s">
        <v>53</v>
      </c>
      <c r="F5" s="336"/>
    </row>
    <row r="6" spans="2:6" ht="20.100000000000001" customHeight="1" thickTop="1" thickBot="1" x14ac:dyDescent="0.3">
      <c r="B6" s="43" t="s">
        <v>54</v>
      </c>
      <c r="C6" s="44">
        <f>SUMIFS(Donnees!AK$4:AK$999408,Donnees!AJ$4:AJ$999408,"BAAA")</f>
        <v>0</v>
      </c>
      <c r="D6" s="45">
        <f>SUMIFS(Donnees!AL$4:AL$999408,Donnees!AJ$4:AJ$999408,"BAAA")</f>
        <v>0</v>
      </c>
      <c r="E6" s="46">
        <f>SUMIFS(Donnees!AM$4:AM$999408,Donnees!AJ$4:AJ$999408,"BAAA")</f>
        <v>0</v>
      </c>
      <c r="F6" s="46">
        <f>SUMIFS(Donnees!AP$4:AP$999408,Donnees!AJ$4:AJ$999408,"BAAA")</f>
        <v>0</v>
      </c>
    </row>
    <row r="7" spans="2:6" ht="20.100000000000001" customHeight="1" thickTop="1" x14ac:dyDescent="0.25">
      <c r="B7" s="26" t="s">
        <v>55</v>
      </c>
      <c r="C7" s="33"/>
      <c r="D7" s="34"/>
      <c r="E7" s="35"/>
      <c r="F7" s="35"/>
    </row>
    <row r="8" spans="2:6" ht="20.100000000000001" customHeight="1" x14ac:dyDescent="0.25">
      <c r="B8" s="63" t="s">
        <v>56</v>
      </c>
      <c r="C8" s="122"/>
      <c r="D8" s="123"/>
      <c r="E8" s="124"/>
      <c r="F8" s="124"/>
    </row>
    <row r="9" spans="2:6" ht="20.100000000000001" customHeight="1" x14ac:dyDescent="0.25">
      <c r="B9" s="121" t="s">
        <v>110</v>
      </c>
      <c r="C9" s="111">
        <f>SUMIFS(Donnees!AK$4:AK$999408,Donnees!AJ$4:AJ$999408,"BAAB")</f>
        <v>0</v>
      </c>
      <c r="D9" s="9">
        <f>SUMIFS(Donnees!AL$4:AL$999408,Donnees!AJ$4:AJ$999408,"BAAB")</f>
        <v>0</v>
      </c>
      <c r="E9" s="111">
        <f>SUMIFS(Donnees!AM$4:AM$999408,Donnees!AJ$4:AJ$999408,"BAAB")</f>
        <v>0</v>
      </c>
      <c r="F9" s="37">
        <f>SUMIFS(Donnees!AP$4:AP$999408,Donnees!AJ$4:AJ$999408,"BAAB")</f>
        <v>0</v>
      </c>
    </row>
    <row r="10" spans="2:6" ht="20.100000000000001" customHeight="1" x14ac:dyDescent="0.25">
      <c r="B10" s="110" t="s">
        <v>111</v>
      </c>
      <c r="C10" s="36">
        <f>SUMIFS(Donnees!AK$4:AK$999408,Donnees!AJ$4:AJ$999408,"BACX")</f>
        <v>0</v>
      </c>
      <c r="D10" s="86">
        <f>SUMIFS(Donnees!AL$4:AL$999408,Donnees!AJ$4:AJ$999408,"BACX")</f>
        <v>0</v>
      </c>
      <c r="E10" s="86">
        <f>SUMIFS(Donnees!AM$4:AM$999408,Donnees!AJ$4:AJ$999408,"BACX")</f>
        <v>0</v>
      </c>
      <c r="F10" s="86">
        <f>SUMIFS(Donnees!AP$4:AP$999408,Donnees!AJ$4:AJ$999408,"BACX")</f>
        <v>0</v>
      </c>
    </row>
    <row r="11" spans="2:6" ht="20.100000000000001" customHeight="1" x14ac:dyDescent="0.25">
      <c r="B11" s="64" t="s">
        <v>57</v>
      </c>
      <c r="C11" s="90">
        <f>SUMIFS(Donnees!AK$4:AK$999408,Donnees!AJ$4:AJ$999408,"BAAF")</f>
        <v>-31652</v>
      </c>
      <c r="D11" s="9">
        <f>SUMIFS(Donnees!AL$4:AL$999408,Donnees!AJ$4:AJ$999408,"BAAF")</f>
        <v>-60517.48</v>
      </c>
      <c r="E11" s="37">
        <f>SUMIFS(Donnees!AM$4:AM$999408,Donnees!AJ$4:AJ$999408,"BAAF")</f>
        <v>28865.480000000003</v>
      </c>
      <c r="F11" s="86">
        <f>SUMIFS(Donnees!AP$4:AP$999408,Donnees!AJ$4:AJ$999408,"BAAF")</f>
        <v>0</v>
      </c>
    </row>
    <row r="12" spans="2:6" ht="20.100000000000001" customHeight="1" x14ac:dyDescent="0.25">
      <c r="B12" s="109" t="s">
        <v>58</v>
      </c>
      <c r="C12" s="86">
        <f>SUMIFS(Donnees!AK$4:AK$999408,Donnees!AJ$4:AJ$999408,"BAAH")</f>
        <v>0</v>
      </c>
      <c r="D12" s="90">
        <f>SUMIFS(Donnees!AL$4:AL$999408,Donnees!AJ$4:AJ$999408,"BAAH")</f>
        <v>0</v>
      </c>
      <c r="E12" s="90">
        <f>SUMIFS(Donnees!AM$4:AM$999408,Donnees!AJ$4:AJ$999408,"BAAH")</f>
        <v>0</v>
      </c>
      <c r="F12" s="86">
        <f>SUMIFS(Donnees!AP$4:AP$999408,Donnees!AJ$4:AJ$999408,"BAAH")</f>
        <v>0</v>
      </c>
    </row>
    <row r="13" spans="2:6" ht="20.100000000000001" customHeight="1" x14ac:dyDescent="0.25">
      <c r="B13" s="110" t="s">
        <v>59</v>
      </c>
      <c r="C13" s="87">
        <f>SUMIFS(Donnees!AK$4:AK$999408,Donnees!AJ$4:AJ$999408,"BAAJ")</f>
        <v>0</v>
      </c>
      <c r="D13" s="86">
        <f>SUMIFS(Donnees!AL$4:AL$999408,Donnees!AJ$4:AJ$999408,"BAAJ")</f>
        <v>0</v>
      </c>
      <c r="E13" s="90">
        <f>SUMIFS(Donnees!AM$4:AM$999408,Donnees!AJ$4:AJ$999408,"BAAJ")</f>
        <v>0</v>
      </c>
      <c r="F13" s="86">
        <f>SUMIFS(Donnees!AP$4:AP$999408,Donnees!AJ$4:AJ$999408,"BAAJ")</f>
        <v>0</v>
      </c>
    </row>
    <row r="14" spans="2:6" ht="20.100000000000001" customHeight="1" x14ac:dyDescent="0.25">
      <c r="B14" s="125" t="s">
        <v>112</v>
      </c>
      <c r="C14" s="126">
        <f>SUMIFS(Donnees!AK$4:AK$999408,Donnees!AJ$4:AJ$999408,"BAAL")</f>
        <v>0</v>
      </c>
      <c r="D14" s="94">
        <f>SUMIFS(Donnees!AL$4:AL$999408,Donnees!AJ$4:AJ$999408,"BAAL")</f>
        <v>0</v>
      </c>
      <c r="E14" s="94">
        <f>SUMIFS(Donnees!AM$4:AM$999408,Donnees!AJ$4:AJ$999408,"BAAL")</f>
        <v>0</v>
      </c>
      <c r="F14" s="127">
        <f>SUMIFS(Donnees!AP$4:AP$999408,Donnees!AJ$4:AJ$999408,"BAAL")</f>
        <v>0</v>
      </c>
    </row>
    <row r="15" spans="2:6" ht="20.100000000000001" customHeight="1" x14ac:dyDescent="0.25">
      <c r="B15" s="128" t="s">
        <v>60</v>
      </c>
      <c r="C15" s="129"/>
      <c r="D15" s="130"/>
      <c r="E15" s="131"/>
      <c r="F15" s="131"/>
    </row>
    <row r="16" spans="2:6" ht="20.100000000000001" customHeight="1" x14ac:dyDescent="0.25">
      <c r="B16" s="113" t="s">
        <v>61</v>
      </c>
      <c r="C16" s="114">
        <f>SUMIFS(Donnees!AK$4:AK$999408,Donnees!AJ$4:AJ$999408,"BAAN")</f>
        <v>0</v>
      </c>
      <c r="D16" s="111">
        <f>SUMIFS(Donnees!AL$4:AL$999408,Donnees!AJ$4:AJ$999408,"BAAN")</f>
        <v>0</v>
      </c>
      <c r="E16" s="115">
        <f>SUMIFS(Donnees!AM$4:AM$999408,Donnees!AJ$4:AJ$999408,"BAAN")</f>
        <v>0</v>
      </c>
      <c r="F16" s="115">
        <f>SUMIFS(Donnees!AP$4:AP$999408,Donnees!AJ$4:AJ$999408,"BAAN")</f>
        <v>0</v>
      </c>
    </row>
    <row r="17" spans="2:6" ht="20.100000000000001" customHeight="1" x14ac:dyDescent="0.25">
      <c r="B17" s="112" t="s">
        <v>62</v>
      </c>
      <c r="C17" s="116">
        <f>SUMIFS(Donnees!AK$4:AK$999408,Donnees!AJ$4:AJ$999408,"BAAP")</f>
        <v>0</v>
      </c>
      <c r="D17" s="86">
        <f>SUMIFS(Donnees!AL$4:AL$999408,Donnees!AJ$4:AJ$999408,"BAAP")</f>
        <v>0</v>
      </c>
      <c r="E17" s="87">
        <f>SUMIFS(Donnees!AM$4:AM$999408,Donnees!AJ$4:AJ$999408,"BAAP")</f>
        <v>0</v>
      </c>
      <c r="F17" s="87">
        <f>SUMIFS(Donnees!AP$4:AP$999408,Donnees!AJ$4:AJ$999408,"BAAP")</f>
        <v>0</v>
      </c>
    </row>
    <row r="18" spans="2:6" ht="20.100000000000001" customHeight="1" x14ac:dyDescent="0.25">
      <c r="B18" s="112" t="s">
        <v>113</v>
      </c>
      <c r="C18" s="116">
        <f>SUMIFS(Donnees!AK$4:AK$999408,Donnees!AJ$4:AJ$999408,"BAAR")</f>
        <v>0</v>
      </c>
      <c r="D18" s="86">
        <f>SUMIFS(Donnees!AL$4:AL$999408,Donnees!AJ$4:AJ$999408,"BAAR")</f>
        <v>0</v>
      </c>
      <c r="E18" s="87">
        <f>SUMIFS(Donnees!AM$4:AM$999408,Donnees!AJ$4:AJ$999408,"BAAR")</f>
        <v>0</v>
      </c>
      <c r="F18" s="87">
        <f>SUMIFS(Donnees!AP$4:AP$999408,Donnees!AJ$4:AJ$999408,"BAAR")</f>
        <v>0</v>
      </c>
    </row>
    <row r="19" spans="2:6" ht="20.100000000000001" customHeight="1" x14ac:dyDescent="0.25">
      <c r="B19" s="112" t="s">
        <v>63</v>
      </c>
      <c r="C19" s="116">
        <f>SUMIFS(Donnees!AK$4:AK$999408,Donnees!AJ$4:AJ$999408,"BAAT")</f>
        <v>917503.38000000012</v>
      </c>
      <c r="D19" s="86">
        <f>SUMIFS(Donnees!AL$4:AL$999408,Donnees!AJ$4:AJ$999408,"BAAT")</f>
        <v>935454.78</v>
      </c>
      <c r="E19" s="87">
        <f>SUMIFS(Donnees!AM$4:AM$999408,Donnees!AJ$4:AJ$999408,"BAAT")</f>
        <v>-17951.399999999878</v>
      </c>
      <c r="F19" s="87">
        <f>SUMIFS(Donnees!AP$4:AP$999408,Donnees!AJ$4:AJ$999408,"BAAT")</f>
        <v>35800.830000000031</v>
      </c>
    </row>
    <row r="20" spans="2:6" ht="20.100000000000001" customHeight="1" x14ac:dyDescent="0.25">
      <c r="B20" s="112" t="s">
        <v>64</v>
      </c>
      <c r="C20" s="116">
        <f>SUMIFS(Donnees!AK$4:AK$999408,Donnees!AJ$4:AJ$999408,"BAAV")</f>
        <v>0</v>
      </c>
      <c r="D20" s="86">
        <f>SUMIFS(Donnees!AL$4:AL$999408,Donnees!AJ$4:AJ$999408,"BAAV")</f>
        <v>0</v>
      </c>
      <c r="E20" s="87">
        <f>SUMIFS(Donnees!AM$4:AM$999408,Donnees!AJ$4:AJ$999408,"BAAV")</f>
        <v>0</v>
      </c>
      <c r="F20" s="87">
        <f>SUMIFS(Donnees!AP$4:AP$999408,Donnees!AJ$4:AJ$999408,"BAAV")</f>
        <v>0</v>
      </c>
    </row>
    <row r="21" spans="2:6" ht="20.100000000000001" customHeight="1" x14ac:dyDescent="0.25">
      <c r="B21" s="125" t="s">
        <v>65</v>
      </c>
      <c r="C21" s="126">
        <f>SUMIFS(Donnees!AK$4:AK$999408,Donnees!AJ$4:AJ$999408,"BAAX")</f>
        <v>0</v>
      </c>
      <c r="D21" s="94">
        <f>SUMIFS(Donnees!AL$4:AL$999408,Donnees!AJ$4:AJ$999408,"BAAX")</f>
        <v>0</v>
      </c>
      <c r="E21" s="127">
        <f>SUMIFS(Donnees!AM$4:AM$999408,Donnees!AJ$4:AJ$999408,"BAAX")</f>
        <v>0</v>
      </c>
      <c r="F21" s="127">
        <f>SUMIFS(Donnees!AP$4:AP$999408,Donnees!AJ$4:AJ$999408,"BAAX")</f>
        <v>0</v>
      </c>
    </row>
    <row r="22" spans="2:6" ht="20.100000000000001" customHeight="1" x14ac:dyDescent="0.25">
      <c r="B22" s="128" t="s">
        <v>66</v>
      </c>
      <c r="C22" s="129"/>
      <c r="D22" s="130"/>
      <c r="E22" s="131"/>
      <c r="F22" s="131"/>
    </row>
    <row r="23" spans="2:6" ht="20.100000000000001" customHeight="1" x14ac:dyDescent="0.25">
      <c r="B23" s="113" t="s">
        <v>114</v>
      </c>
      <c r="C23" s="114">
        <f>SUMIFS(Donnees!AK$4:AK$999408,Donnees!AJ$4:AJ$999408,"BACS")</f>
        <v>0</v>
      </c>
      <c r="D23" s="111">
        <f>SUMIFS(Donnees!AL$4:AL$999408,Donnees!AJ$4:AJ$999408,"BACS")</f>
        <v>0</v>
      </c>
      <c r="E23" s="115">
        <f>SUMIFS(Donnees!AM$4:AM$999408,Donnees!AJ$4:AJ$999408,"BACS")</f>
        <v>0</v>
      </c>
      <c r="F23" s="115">
        <f>SUMIFS(Donnees!AP$4:AP$999408,Donnees!AJ$4:AJ$999408,"BACS")</f>
        <v>0</v>
      </c>
    </row>
    <row r="24" spans="2:6" ht="20.100000000000001" customHeight="1" x14ac:dyDescent="0.25">
      <c r="B24" s="112" t="s">
        <v>67</v>
      </c>
      <c r="C24" s="116">
        <f>SUMIFS(Donnees!AK$4:AK$999408,Donnees!AJ$4:AJ$999408,"BACU")</f>
        <v>0</v>
      </c>
      <c r="D24" s="86">
        <f>SUMIFS(Donnees!AL$4:AL$999408,Donnees!AJ$4:AJ$999408,"BACU")</f>
        <v>0</v>
      </c>
      <c r="E24" s="87">
        <f>SUMIFS(Donnees!AM$4:AM$999408,Donnees!AJ$4:AJ$999408,"BACU")</f>
        <v>0</v>
      </c>
      <c r="F24" s="87">
        <f>SUMIFS(Donnees!AP$4:AP$999408,Donnees!AJ$4:AJ$999408,"BACU")</f>
        <v>0</v>
      </c>
    </row>
    <row r="25" spans="2:6" ht="20.100000000000001" customHeight="1" x14ac:dyDescent="0.25">
      <c r="B25" s="112" t="s">
        <v>115</v>
      </c>
      <c r="C25" s="116">
        <f>SUMIFS(Donnees!AK$4:AK$999408,Donnees!AJ$4:AJ$999408,"BABB")</f>
        <v>0</v>
      </c>
      <c r="D25" s="86">
        <f>SUMIFS(Donnees!AL$4:AL$999408,Donnees!AJ$4:AJ$999408,"BABB")</f>
        <v>0</v>
      </c>
      <c r="E25" s="87">
        <f>SUMIFS(Donnees!AM$4:AM$999408,Donnees!AJ$4:AJ$999408,"BABB")</f>
        <v>0</v>
      </c>
      <c r="F25" s="87">
        <f>SUMIFS(Donnees!AP$4:AP$999408,Donnees!AJ$4:AJ$999408,"BABB")</f>
        <v>0</v>
      </c>
    </row>
    <row r="26" spans="2:6" ht="20.100000000000001" customHeight="1" x14ac:dyDescent="0.25">
      <c r="B26" s="112" t="s">
        <v>116</v>
      </c>
      <c r="C26" s="116">
        <f>SUMIFS(Donnees!AK$4:AK$999408,Donnees!AJ$4:AJ$999408,"BABD")</f>
        <v>0</v>
      </c>
      <c r="D26" s="86">
        <f>SUMIFS(Donnees!AL$4:AL$999408,Donnees!AJ$4:AJ$999408,"BABD")</f>
        <v>0</v>
      </c>
      <c r="E26" s="87">
        <f>SUMIFS(Donnees!AM$4:AM$999408,Donnees!AJ$4:AJ$999408,"BABD")</f>
        <v>0</v>
      </c>
      <c r="F26" s="87">
        <f>SUMIFS(Donnees!AP$4:AP$999408,Donnees!AJ$4:AJ$999408,"BABD")</f>
        <v>0</v>
      </c>
    </row>
    <row r="27" spans="2:6" ht="20.100000000000001" customHeight="1" x14ac:dyDescent="0.25">
      <c r="B27" s="112" t="s">
        <v>117</v>
      </c>
      <c r="C27" s="116">
        <f>SUMIFS(Donnees!AK$4:AK$999408,Donnees!AJ$4:AJ$999408,"BABF")</f>
        <v>0</v>
      </c>
      <c r="D27" s="86">
        <f>SUMIFS(Donnees!AL$4:AL$999408,Donnees!AJ$4:AJ$999408,"BABF")</f>
        <v>0</v>
      </c>
      <c r="E27" s="87">
        <f>SUMIFS(Donnees!AM$4:AM$999408,Donnees!AJ$4:AJ$999408,"BABF")</f>
        <v>0</v>
      </c>
      <c r="F27" s="87">
        <f>SUMIFS(Donnees!AP$4:AP$999408,Donnees!AJ$4:AJ$999408,"BABF")</f>
        <v>0</v>
      </c>
    </row>
    <row r="28" spans="2:6" ht="20.100000000000001" customHeight="1" x14ac:dyDescent="0.25">
      <c r="B28" s="138" t="s">
        <v>118</v>
      </c>
      <c r="C28" s="126">
        <f>SUMIFS(Donnees!AK$4:AK$999408,Donnees!AJ$4:AJ$999408,"BABH")</f>
        <v>104702.19999999998</v>
      </c>
      <c r="D28" s="94">
        <f>SUMIFS(Donnees!AL$4:AL$999408,Donnees!AJ$4:AJ$999408,"BABH")</f>
        <v>0</v>
      </c>
      <c r="E28" s="127">
        <f>SUMIFS(Donnees!AM$4:AM$999408,Donnees!AJ$4:AJ$999408,"BABH")</f>
        <v>104702.19999999998</v>
      </c>
      <c r="F28" s="127">
        <f>SUMIFS(Donnees!AP$4:AP$999408,Donnees!AJ$4:AJ$999408,"BABH")</f>
        <v>58158.229999999996</v>
      </c>
    </row>
    <row r="29" spans="2:6" ht="20.100000000000001" customHeight="1" thickBot="1" x14ac:dyDescent="0.3">
      <c r="B29" s="139"/>
      <c r="C29" s="38">
        <f>SUM(C9:C14,C16:C21,C23:C28)</f>
        <v>990553.58000000007</v>
      </c>
      <c r="D29" s="39">
        <f>SUM(D9:D14,D16:D21,D23:D28)</f>
        <v>874937.3</v>
      </c>
      <c r="E29" s="40">
        <f>SUM(E9:E14,E16:E21,E23:E28)</f>
        <v>115616.28000000012</v>
      </c>
      <c r="F29" s="40">
        <f>SUM(F9:F14,F16:F21,F23:F28)</f>
        <v>93959.060000000027</v>
      </c>
    </row>
    <row r="30" spans="2:6" ht="20.100000000000001" customHeight="1" thickTop="1" x14ac:dyDescent="0.25">
      <c r="B30" s="26" t="s">
        <v>119</v>
      </c>
      <c r="C30" s="33"/>
      <c r="D30" s="34"/>
      <c r="E30" s="35"/>
      <c r="F30" s="35"/>
    </row>
    <row r="31" spans="2:6" ht="20.100000000000001" customHeight="1" x14ac:dyDescent="0.25">
      <c r="B31" s="132" t="s">
        <v>68</v>
      </c>
      <c r="C31" s="122"/>
      <c r="D31" s="123"/>
      <c r="E31" s="124"/>
      <c r="F31" s="124"/>
    </row>
    <row r="32" spans="2:6" ht="20.100000000000001" customHeight="1" x14ac:dyDescent="0.25">
      <c r="B32" s="113" t="s">
        <v>120</v>
      </c>
      <c r="C32" s="114">
        <f>SUMIFS(Donnees!AK$4:AK$999408,Donnees!AJ$4:AJ$999408,"BABL")</f>
        <v>0</v>
      </c>
      <c r="D32" s="111">
        <f>SUMIFS(Donnees!AL$4:AL$999408,Donnees!AJ$4:AJ$999408,"BABL")</f>
        <v>0</v>
      </c>
      <c r="E32" s="115">
        <f>SUMIFS(Donnees!AM$4:AM$999408,Donnees!AJ$4:AJ$999408,"BABL")</f>
        <v>0</v>
      </c>
      <c r="F32" s="115">
        <f>SUMIFS(Donnees!AP$4:AP$999408,Donnees!AJ$4:AJ$999408,"BABL")</f>
        <v>0</v>
      </c>
    </row>
    <row r="33" spans="2:6" ht="20.100000000000001" customHeight="1" x14ac:dyDescent="0.25">
      <c r="B33" s="112" t="s">
        <v>69</v>
      </c>
      <c r="C33" s="116">
        <f>SUMIFS(Donnees!AK$4:AK$999408,Donnees!AJ$4:AJ$999408,"BABN")</f>
        <v>0</v>
      </c>
      <c r="D33" s="86">
        <f>SUMIFS(Donnees!AL$4:AL$999408,Donnees!AJ$4:AJ$999408,"BABN")</f>
        <v>0</v>
      </c>
      <c r="E33" s="87">
        <f>SUMIFS(Donnees!AM$4:AM$999408,Donnees!AJ$4:AJ$999408,"BABN")</f>
        <v>0</v>
      </c>
      <c r="F33" s="87">
        <f>SUMIFS(Donnees!AP$4:AP$999408,Donnees!AJ$4:AJ$999408,"BABN")</f>
        <v>0</v>
      </c>
    </row>
    <row r="34" spans="2:6" ht="20.100000000000001" customHeight="1" x14ac:dyDescent="0.25">
      <c r="B34" s="112" t="s">
        <v>70</v>
      </c>
      <c r="C34" s="116">
        <f>SUMIFS(Donnees!AK$4:AK$999408,Donnees!AJ$4:AJ$999408,"BABP")</f>
        <v>63147.26</v>
      </c>
      <c r="D34" s="86">
        <f>SUMIFS(Donnees!AL$4:AL$999408,Donnees!AJ$4:AJ$999408,"BABP")</f>
        <v>0</v>
      </c>
      <c r="E34" s="87">
        <f>SUMIFS(Donnees!AM$4:AM$999408,Donnees!AJ$4:AJ$999408,"BABP")</f>
        <v>63147.26</v>
      </c>
      <c r="F34" s="87">
        <f>SUMIFS(Donnees!AP$4:AP$999408,Donnees!AJ$4:AJ$999408,"BABP")</f>
        <v>22814</v>
      </c>
    </row>
    <row r="35" spans="2:6" ht="20.100000000000001" customHeight="1" x14ac:dyDescent="0.25">
      <c r="B35" s="112" t="s">
        <v>121</v>
      </c>
      <c r="C35" s="116">
        <f>SUMIFS(Donnees!AK$4:AK$999408,Donnees!AJ$4:AJ$999408,"BABR")</f>
        <v>0</v>
      </c>
      <c r="D35" s="86">
        <f>SUMIFS(Donnees!AL$4:AL$999408,Donnees!AJ$4:AJ$999408,"BABR")</f>
        <v>0</v>
      </c>
      <c r="E35" s="87">
        <f>SUMIFS(Donnees!AM$4:AM$999408,Donnees!AJ$4:AJ$999408,"BABR")</f>
        <v>0</v>
      </c>
      <c r="F35" s="87">
        <f>SUMIFS(Donnees!AP$4:AP$999408,Donnees!AJ$4:AJ$999408,"BABR")</f>
        <v>0</v>
      </c>
    </row>
    <row r="36" spans="2:6" ht="20.100000000000001" customHeight="1" x14ac:dyDescent="0.25">
      <c r="B36" s="125" t="s">
        <v>71</v>
      </c>
      <c r="C36" s="126">
        <f>SUMIFS(Donnees!AK$4:AK$999408,Donnees!AJ$4:AJ$999408,"BABT")</f>
        <v>92599.02</v>
      </c>
      <c r="D36" s="94">
        <f>SUMIFS(Donnees!AL$4:AL$999408,Donnees!AJ$4:AJ$999408,"BABT")</f>
        <v>26195.84</v>
      </c>
      <c r="E36" s="127">
        <f>SUMIFS(Donnees!AM$4:AM$999408,Donnees!AJ$4:AJ$999408,"BABT")</f>
        <v>66403.180000000008</v>
      </c>
      <c r="F36" s="127">
        <f>SUMIFS(Donnees!AP$4:AP$999408,Donnees!AJ$4:AJ$999408,"BABT")</f>
        <v>49163.590000000004</v>
      </c>
    </row>
    <row r="37" spans="2:6" ht="20.100000000000001" customHeight="1" x14ac:dyDescent="0.25">
      <c r="B37" s="128" t="s">
        <v>122</v>
      </c>
      <c r="C37" s="129"/>
      <c r="D37" s="130"/>
      <c r="E37" s="131"/>
      <c r="F37" s="131"/>
    </row>
    <row r="38" spans="2:6" ht="20.100000000000001" customHeight="1" x14ac:dyDescent="0.25">
      <c r="B38" s="134" t="s">
        <v>122</v>
      </c>
      <c r="C38" s="24">
        <f>SUMIFS(Donnees!AK$4:AK$999408,Donnees!AJ$4:AJ$999408,"BABV")</f>
        <v>0</v>
      </c>
      <c r="D38" s="21">
        <f>SUMIFS(Donnees!AL$4:AL$999408,Donnees!AJ$4:AJ$999408,"BABV")</f>
        <v>0</v>
      </c>
      <c r="E38" s="133">
        <f>SUMIFS(Donnees!AM$4:AM$999408,Donnees!AJ$4:AJ$999408,"BABV")</f>
        <v>0</v>
      </c>
      <c r="F38" s="133">
        <f>SUMIFS(Donnees!AP$4:AP$999408,Donnees!AJ$4:AJ$999408,"BABV")</f>
        <v>0</v>
      </c>
    </row>
    <row r="39" spans="2:6" ht="20.100000000000001" customHeight="1" x14ac:dyDescent="0.25">
      <c r="B39" s="128" t="s">
        <v>72</v>
      </c>
      <c r="C39" s="129"/>
      <c r="D39" s="130"/>
      <c r="E39" s="131"/>
      <c r="F39" s="131"/>
    </row>
    <row r="40" spans="2:6" ht="20.100000000000001" customHeight="1" x14ac:dyDescent="0.25">
      <c r="B40" s="113" t="s">
        <v>123</v>
      </c>
      <c r="C40" s="114">
        <f>SUMIFS(Donnees!AK$4:AK$999408,Donnees!AJ$4:AJ$999408,"BABX")</f>
        <v>5253115.8199999994</v>
      </c>
      <c r="D40" s="111">
        <f>SUMIFS(Donnees!AL$4:AL$999408,Donnees!AJ$4:AJ$999408,"BABX")</f>
        <v>206333.74</v>
      </c>
      <c r="E40" s="115">
        <f>SUMIFS(Donnees!AM$4:AM$999408,Donnees!AJ$4:AJ$999408,"BABX")</f>
        <v>5046782.0799999991</v>
      </c>
      <c r="F40" s="115">
        <f>SUMIFS(Donnees!AP$4:AP$999408,Donnees!AJ$4:AJ$999408,"BABX")</f>
        <v>2473378.0299999998</v>
      </c>
    </row>
    <row r="41" spans="2:6" ht="20.100000000000001" customHeight="1" x14ac:dyDescent="0.25">
      <c r="B41" s="112" t="s">
        <v>124</v>
      </c>
      <c r="C41" s="116">
        <f>SUMIFS(Donnees!AK$4:AK$999408,Donnees!AJ$4:AJ$999408,"BABZ")</f>
        <v>319166.67999999993</v>
      </c>
      <c r="D41" s="86">
        <f>SUMIFS(Donnees!AL$4:AL$999408,Donnees!AJ$4:AJ$999408,"BABZ")</f>
        <v>-45648.24</v>
      </c>
      <c r="E41" s="87">
        <f>SUMIFS(Donnees!AM$4:AM$999408,Donnees!AJ$4:AJ$999408,"BABZ")</f>
        <v>364814.91999999993</v>
      </c>
      <c r="F41" s="87">
        <f>SUMIFS(Donnees!AP$4:AP$999408,Donnees!AJ$4:AJ$999408,"BABZ")</f>
        <v>126578.87999999999</v>
      </c>
    </row>
    <row r="42" spans="2:6" ht="20.100000000000001" customHeight="1" x14ac:dyDescent="0.25">
      <c r="B42" s="125" t="s">
        <v>125</v>
      </c>
      <c r="C42" s="126">
        <f>SUMIFS(Donnees!AK$4:AK$999408,Donnees!AJ$4:AJ$999408,"BACB")</f>
        <v>0</v>
      </c>
      <c r="D42" s="94">
        <f>SUMIFS(Donnees!AL$4:AL$999408,Donnees!AJ$4:AJ$999408,"BACB")</f>
        <v>0</v>
      </c>
      <c r="E42" s="127">
        <f>SUMIFS(Donnees!AM$4:AM$999408,Donnees!AJ$4:AJ$999408,"BACB")</f>
        <v>0</v>
      </c>
      <c r="F42" s="127">
        <f>SUMIFS(Donnees!AP$4:AP$999408,Donnees!AJ$4:AJ$999408,"BACB")</f>
        <v>0</v>
      </c>
    </row>
    <row r="43" spans="2:6" ht="20.100000000000001" customHeight="1" x14ac:dyDescent="0.25">
      <c r="B43" s="128" t="s">
        <v>73</v>
      </c>
      <c r="C43" s="129"/>
      <c r="D43" s="130"/>
      <c r="E43" s="131"/>
      <c r="F43" s="131"/>
    </row>
    <row r="44" spans="2:6" ht="20.100000000000001" customHeight="1" x14ac:dyDescent="0.25">
      <c r="B44" s="113" t="s">
        <v>126</v>
      </c>
      <c r="C44" s="114">
        <f>SUMIFS(Donnees!AK$4:AK$999408,Donnees!AJ$4:AJ$999408,"BACD")</f>
        <v>6812341.5199999996</v>
      </c>
      <c r="D44" s="111">
        <f>SUMIFS(Donnees!AL$4:AL$999408,Donnees!AJ$4:AJ$999408,"BACD")</f>
        <v>0</v>
      </c>
      <c r="E44" s="115">
        <f>SUMIFS(Donnees!AM$4:AM$999408,Donnees!AJ$4:AJ$999408,"BACD")</f>
        <v>6812341.5199999996</v>
      </c>
      <c r="F44" s="115">
        <f>SUMIFS(Donnees!AP$4:AP$999408,Donnees!AJ$4:AJ$999408,"BACD")</f>
        <v>2702689.23</v>
      </c>
    </row>
    <row r="45" spans="2:6" ht="20.100000000000001" customHeight="1" x14ac:dyDescent="0.25">
      <c r="B45" s="112" t="s">
        <v>127</v>
      </c>
      <c r="C45" s="116">
        <f>SUMIFS(Donnees!AK$4:AK$999408,Donnees!AJ$4:AJ$999408,"BACF")</f>
        <v>2671823.02</v>
      </c>
      <c r="D45" s="86">
        <f>SUMIFS(Donnees!AL$4:AL$999408,Donnees!AJ$4:AJ$999408,"BACF")</f>
        <v>0</v>
      </c>
      <c r="E45" s="87">
        <f>SUMIFS(Donnees!AM$4:AM$999408,Donnees!AJ$4:AJ$999408,"BACF")</f>
        <v>2671823.02</v>
      </c>
      <c r="F45" s="87">
        <f>SUMIFS(Donnees!AP$4:AP$999408,Donnees!AJ$4:AJ$999408,"BACF")</f>
        <v>348791.99999999994</v>
      </c>
    </row>
    <row r="46" spans="2:6" ht="20.100000000000001" customHeight="1" x14ac:dyDescent="0.25">
      <c r="B46" s="109" t="s">
        <v>128</v>
      </c>
      <c r="C46" s="126">
        <f>SUMIFS(Donnees!AK$4:AK$999408,Donnees!AJ$4:AJ$999408,"BACH")</f>
        <v>385304.92</v>
      </c>
      <c r="D46" s="94">
        <f>SUMIFS(Donnees!AL$4:AL$999408,Donnees!AJ$4:AJ$999408,"BACH")</f>
        <v>0</v>
      </c>
      <c r="E46" s="127">
        <f>SUMIFS(Donnees!AM$4:AM$999408,Donnees!AJ$4:AJ$999408,"BACH")</f>
        <v>385304.92</v>
      </c>
      <c r="F46" s="127">
        <f>SUMIFS(Donnees!AP$4:AP$999408,Donnees!AJ$4:AJ$999408,"BACH")</f>
        <v>137453.25</v>
      </c>
    </row>
    <row r="47" spans="2:6" ht="20.100000000000001" customHeight="1" thickBot="1" x14ac:dyDescent="0.3">
      <c r="B47" s="65"/>
      <c r="C47" s="38">
        <f>SUM(C32:C36,C38,C40:C42,C44:C46)</f>
        <v>15597498.239999998</v>
      </c>
      <c r="D47" s="39">
        <f>SUM(D32:D36,D38,D40:D42,D44:D46)</f>
        <v>186881.34</v>
      </c>
      <c r="E47" s="40">
        <f>SUM(E32:E36,E38,E40:E42,E44:E46)</f>
        <v>15410616.899999999</v>
      </c>
      <c r="F47" s="40">
        <f>SUM(F32:F36,F38,F40:F42,F44:F46)</f>
        <v>5860868.9799999995</v>
      </c>
    </row>
    <row r="48" spans="2:6" ht="20.100000000000001" customHeight="1" thickTop="1" x14ac:dyDescent="0.25">
      <c r="B48" s="117" t="s">
        <v>281</v>
      </c>
      <c r="C48" s="118">
        <f>SUMIFS(Donnees!AK$4:AK$999408,Donnees!AJ$4:AJ$999408,"BACW")</f>
        <v>0</v>
      </c>
      <c r="D48" s="119">
        <f>SUMIFS(Donnees!AL$4:AL$999408,Donnees!AJ$4:AJ$999408,"BACW")</f>
        <v>0</v>
      </c>
      <c r="E48" s="120">
        <f>SUMIFS(Donnees!AM$4:AM$999408,Donnees!AJ$4:AJ$999408,"BACW")</f>
        <v>0</v>
      </c>
      <c r="F48" s="120">
        <f>SUMIFS(Donnees!AP$4:AP$999408,Donnees!AJ$4:AJ$999408,"BACW")</f>
        <v>0</v>
      </c>
    </row>
    <row r="49" spans="2:6" ht="20.100000000000001" customHeight="1" x14ac:dyDescent="0.25">
      <c r="B49" s="88" t="s">
        <v>74</v>
      </c>
      <c r="C49" s="116">
        <f>SUMIFS(Donnees!AK$4:AK$999408,Donnees!AJ$4:AJ$999408,"BACM")</f>
        <v>0</v>
      </c>
      <c r="D49" s="86">
        <f>SUMIFS(Donnees!AL$4:AL$999408,Donnees!AJ$4:AJ$999408,"BACM")</f>
        <v>0</v>
      </c>
      <c r="E49" s="87">
        <f>SUMIFS(Donnees!AM$4:AM$999408,Donnees!AJ$4:AJ$999408,"BACM")</f>
        <v>0</v>
      </c>
      <c r="F49" s="87">
        <f>SUMIFS(Donnees!AP$4:AP$999408,Donnees!AJ$4:AJ$999408,"BACM")</f>
        <v>0</v>
      </c>
    </row>
    <row r="50" spans="2:6" ht="20.100000000000001" customHeight="1" thickBot="1" x14ac:dyDescent="0.3">
      <c r="B50" s="47" t="s">
        <v>129</v>
      </c>
      <c r="C50" s="48">
        <f>SUMIFS(Donnees!AK$4:AK$999408,Donnees!AJ$4:AJ$999408,"BACN")</f>
        <v>6436.8</v>
      </c>
      <c r="D50" s="49">
        <f>SUMIFS(Donnees!AL$4:AL$999408,Donnees!AJ$4:AJ$999408,"BACN")</f>
        <v>0</v>
      </c>
      <c r="E50" s="50">
        <f>SUMIFS(Donnees!AM$4:AM$999408,Donnees!AJ$4:AJ$999408,"BACN")</f>
        <v>6436.8</v>
      </c>
      <c r="F50" s="50">
        <f>SUMIFS(Donnees!AP$4:AP$999408,Donnees!AJ$4:AJ$999408,"BACN")</f>
        <v>1752.6</v>
      </c>
    </row>
    <row r="51" spans="2:6" ht="20.100000000000001" customHeight="1" thickTop="1" thickBot="1" x14ac:dyDescent="0.3">
      <c r="B51" s="67" t="s">
        <v>50</v>
      </c>
      <c r="C51" s="68">
        <f>SUM(C6,C29,C47,C48:C50)</f>
        <v>16594488.619999999</v>
      </c>
      <c r="D51" s="69">
        <f>SUM(D6,D29,D47,D48:D50)</f>
        <v>1061818.6400000001</v>
      </c>
      <c r="E51" s="70">
        <f>SUM(E6,E29,E47,E48:E50)</f>
        <v>15532669.979999999</v>
      </c>
      <c r="F51" s="70">
        <f>SUM(F6,F29,F47,F48:F50)</f>
        <v>5956580.6399999987</v>
      </c>
    </row>
    <row r="52" spans="2:6" ht="15.75" thickTop="1" x14ac:dyDescent="0.25"/>
  </sheetData>
  <mergeCells count="5">
    <mergeCell ref="C1:D1"/>
    <mergeCell ref="D2:E2"/>
    <mergeCell ref="C4:E4"/>
    <mergeCell ref="B4:B5"/>
    <mergeCell ref="F4:F5"/>
  </mergeCells>
  <printOptions horizontalCentered="1"/>
  <pageMargins left="0" right="0" top="0" bottom="0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891"/>
  <sheetViews>
    <sheetView workbookViewId="0"/>
  </sheetViews>
  <sheetFormatPr baseColWidth="10" defaultRowHeight="15" x14ac:dyDescent="0.25"/>
  <cols>
    <col min="1" max="1" width="14.5703125" bestFit="1" customWidth="1"/>
    <col min="6" max="6" width="12.42578125" bestFit="1" customWidth="1"/>
    <col min="7" max="7" width="11.28515625" customWidth="1"/>
    <col min="10" max="10" width="16.28515625" customWidth="1"/>
    <col min="35" max="35" width="19.42578125" bestFit="1" customWidth="1"/>
    <col min="36" max="36" width="11.42578125" customWidth="1"/>
    <col min="37" max="37" width="23.7109375" style="1" customWidth="1"/>
    <col min="38" max="38" width="26.7109375" style="1" bestFit="1" customWidth="1"/>
    <col min="39" max="40" width="23.7109375" style="1" customWidth="1"/>
    <col min="41" max="41" width="26.7109375" style="1" bestFit="1" customWidth="1"/>
    <col min="42" max="43" width="23.7109375" style="1" customWidth="1"/>
    <col min="44" max="44" width="26.7109375" style="1" bestFit="1" customWidth="1"/>
    <col min="45" max="45" width="23.7109375" style="1" customWidth="1"/>
    <col min="46" max="46" width="24.140625" style="1" bestFit="1" customWidth="1"/>
    <col min="47" max="47" width="13.5703125" hidden="1" customWidth="1"/>
    <col min="48" max="52" width="11.42578125" hidden="1" customWidth="1"/>
    <col min="53" max="53" width="15.28515625" hidden="1" customWidth="1"/>
    <col min="54" max="54" width="12.5703125" hidden="1" customWidth="1"/>
    <col min="55" max="55" width="15.28515625" hidden="1" customWidth="1"/>
    <col min="56" max="58" width="12.5703125" hidden="1" customWidth="1"/>
    <col min="59" max="59" width="14.5703125" hidden="1" customWidth="1"/>
    <col min="60" max="60" width="23.28515625" hidden="1" customWidth="1"/>
    <col min="61" max="61" width="20.28515625" hidden="1" customWidth="1"/>
  </cols>
  <sheetData>
    <row r="1" spans="1:61" x14ac:dyDescent="0.25">
      <c r="A1" t="s">
        <v>217</v>
      </c>
      <c r="B1" t="str">
        <f>AU4</f>
        <v>PB</v>
      </c>
      <c r="C1" t="str">
        <f>AV4</f>
        <v>QUALIAC</v>
      </c>
      <c r="D1" t="s">
        <v>218</v>
      </c>
      <c r="E1" t="str">
        <f>AW4</f>
        <v>Parc d'Activité de tronquière</v>
      </c>
      <c r="F1" t="s">
        <v>219</v>
      </c>
      <c r="G1" t="str">
        <f>AX4</f>
        <v>15000</v>
      </c>
      <c r="H1" t="s">
        <v>220</v>
      </c>
      <c r="I1" t="str">
        <f>AY4</f>
        <v>AURILLAC</v>
      </c>
      <c r="J1" t="s">
        <v>221</v>
      </c>
      <c r="K1" t="str">
        <f>AZ4</f>
        <v>12345678912345</v>
      </c>
      <c r="AK1"/>
      <c r="AL1"/>
      <c r="AM1"/>
      <c r="AN1"/>
      <c r="AO1"/>
      <c r="AP1"/>
      <c r="AQ1"/>
      <c r="AR1"/>
      <c r="AS1"/>
    </row>
    <row r="2" spans="1:61" x14ac:dyDescent="0.25">
      <c r="A2" t="s">
        <v>222</v>
      </c>
      <c r="B2" t="str">
        <f>BA4</f>
        <v>01/01/2013</v>
      </c>
      <c r="C2" t="str">
        <f>BB4</f>
        <v>31/12/2013</v>
      </c>
      <c r="D2" t="s">
        <v>223</v>
      </c>
      <c r="E2" t="str">
        <f>BC4</f>
        <v>01/01/2012</v>
      </c>
      <c r="F2" t="str">
        <f>BD4</f>
        <v>31/12/2012</v>
      </c>
      <c r="G2" t="s">
        <v>231</v>
      </c>
      <c r="H2" t="str">
        <f>BE4</f>
        <v>01/01/2011</v>
      </c>
      <c r="I2" t="str">
        <f>BF4</f>
        <v>31/12/2011</v>
      </c>
      <c r="J2" t="s">
        <v>224</v>
      </c>
      <c r="K2" t="str">
        <f>BG4</f>
        <v>31/12/2016</v>
      </c>
      <c r="L2" t="s">
        <v>225</v>
      </c>
      <c r="M2" t="str">
        <f>BH4</f>
        <v>01/01/2014</v>
      </c>
      <c r="N2" t="str">
        <f>BI4</f>
        <v>31/12/2014</v>
      </c>
      <c r="AK2"/>
      <c r="AL2"/>
      <c r="AM2"/>
      <c r="AN2"/>
      <c r="AO2"/>
      <c r="AP2"/>
      <c r="AQ2"/>
      <c r="AR2"/>
      <c r="AS2"/>
    </row>
    <row r="3" spans="1:61" x14ac:dyDescent="0.25">
      <c r="A3" t="s">
        <v>178</v>
      </c>
      <c r="B3" t="s">
        <v>179</v>
      </c>
      <c r="C3" t="s">
        <v>180</v>
      </c>
      <c r="D3" t="s">
        <v>179</v>
      </c>
      <c r="E3" t="s">
        <v>181</v>
      </c>
      <c r="F3" t="s">
        <v>179</v>
      </c>
      <c r="G3" t="s">
        <v>182</v>
      </c>
      <c r="H3" t="s">
        <v>179</v>
      </c>
      <c r="I3" t="s">
        <v>183</v>
      </c>
      <c r="J3" t="s">
        <v>179</v>
      </c>
      <c r="K3" t="s">
        <v>184</v>
      </c>
      <c r="L3" t="s">
        <v>179</v>
      </c>
      <c r="M3" t="s">
        <v>185</v>
      </c>
      <c r="N3" t="s">
        <v>179</v>
      </c>
      <c r="O3" t="s">
        <v>186</v>
      </c>
      <c r="P3" t="s">
        <v>179</v>
      </c>
      <c r="Q3" t="s">
        <v>187</v>
      </c>
      <c r="R3" t="s">
        <v>179</v>
      </c>
      <c r="S3" t="s">
        <v>188</v>
      </c>
      <c r="T3" t="s">
        <v>179</v>
      </c>
      <c r="U3" t="s">
        <v>189</v>
      </c>
      <c r="V3" t="s">
        <v>179</v>
      </c>
      <c r="W3" t="s">
        <v>190</v>
      </c>
      <c r="X3" t="s">
        <v>179</v>
      </c>
      <c r="Y3" t="s">
        <v>191</v>
      </c>
      <c r="Z3" t="s">
        <v>179</v>
      </c>
      <c r="AA3" t="s">
        <v>192</v>
      </c>
      <c r="AB3" t="s">
        <v>179</v>
      </c>
      <c r="AC3" t="s">
        <v>193</v>
      </c>
      <c r="AD3" t="s">
        <v>179</v>
      </c>
      <c r="AE3" t="s">
        <v>194</v>
      </c>
      <c r="AF3" t="s">
        <v>179</v>
      </c>
      <c r="AG3" t="s">
        <v>195</v>
      </c>
      <c r="AH3" t="s">
        <v>179</v>
      </c>
      <c r="AI3" t="s">
        <v>196</v>
      </c>
      <c r="AJ3" t="s">
        <v>197</v>
      </c>
      <c r="AK3" t="s">
        <v>198</v>
      </c>
      <c r="AL3" t="s">
        <v>199</v>
      </c>
      <c r="AM3" t="s">
        <v>200</v>
      </c>
      <c r="AN3" t="s">
        <v>201</v>
      </c>
      <c r="AO3" t="s">
        <v>202</v>
      </c>
      <c r="AP3" t="s">
        <v>203</v>
      </c>
      <c r="AQ3" t="s">
        <v>226</v>
      </c>
      <c r="AR3" t="s">
        <v>227</v>
      </c>
      <c r="AS3" t="s">
        <v>228</v>
      </c>
      <c r="AT3" s="1" t="s">
        <v>204</v>
      </c>
      <c r="AU3" t="s">
        <v>205</v>
      </c>
      <c r="AV3" t="s">
        <v>179</v>
      </c>
      <c r="AW3" t="s">
        <v>206</v>
      </c>
      <c r="AX3" t="s">
        <v>207</v>
      </c>
      <c r="AY3" t="s">
        <v>208</v>
      </c>
      <c r="AZ3" t="s">
        <v>209</v>
      </c>
      <c r="BA3" t="s">
        <v>210</v>
      </c>
      <c r="BB3" t="s">
        <v>211</v>
      </c>
      <c r="BC3" t="s">
        <v>212</v>
      </c>
      <c r="BD3" t="s">
        <v>213</v>
      </c>
      <c r="BE3" t="s">
        <v>229</v>
      </c>
      <c r="BF3" t="s">
        <v>230</v>
      </c>
      <c r="BG3" t="s">
        <v>214</v>
      </c>
      <c r="BH3" t="s">
        <v>215</v>
      </c>
      <c r="BI3" t="s">
        <v>216</v>
      </c>
    </row>
    <row r="4" spans="1:61" x14ac:dyDescent="0.25">
      <c r="A4" t="s">
        <v>343</v>
      </c>
      <c r="B4" t="s">
        <v>344</v>
      </c>
      <c r="C4" t="s">
        <v>345</v>
      </c>
      <c r="D4" t="s">
        <v>346</v>
      </c>
      <c r="E4" t="s">
        <v>347</v>
      </c>
      <c r="F4" t="s">
        <v>50</v>
      </c>
      <c r="G4" t="s">
        <v>348</v>
      </c>
      <c r="H4" t="s">
        <v>55</v>
      </c>
      <c r="I4" t="s">
        <v>349</v>
      </c>
      <c r="J4" t="s">
        <v>56</v>
      </c>
      <c r="K4" t="s">
        <v>350</v>
      </c>
      <c r="L4" t="s">
        <v>57</v>
      </c>
      <c r="AG4" t="s">
        <v>351</v>
      </c>
      <c r="AH4" t="s">
        <v>352</v>
      </c>
      <c r="AI4" t="s">
        <v>353</v>
      </c>
      <c r="AJ4" t="s">
        <v>350</v>
      </c>
      <c r="AK4" s="1">
        <v>-31652</v>
      </c>
      <c r="AL4" s="1">
        <v>0</v>
      </c>
      <c r="AM4" s="1">
        <v>-31652</v>
      </c>
      <c r="AN4" s="1">
        <v>0</v>
      </c>
      <c r="AO4" s="1">
        <v>0</v>
      </c>
      <c r="AP4" s="1">
        <v>0</v>
      </c>
      <c r="AQ4" s="1">
        <v>43963.89</v>
      </c>
      <c r="AR4" s="1">
        <v>0</v>
      </c>
      <c r="AS4" s="1">
        <v>43963.89</v>
      </c>
      <c r="AT4" s="1">
        <v>0</v>
      </c>
      <c r="AU4" t="s">
        <v>354</v>
      </c>
      <c r="AV4" t="s">
        <v>355</v>
      </c>
      <c r="AW4" t="s">
        <v>356</v>
      </c>
      <c r="AX4" t="s">
        <v>357</v>
      </c>
      <c r="AY4" t="s">
        <v>358</v>
      </c>
      <c r="AZ4" t="s">
        <v>359</v>
      </c>
      <c r="BA4" s="195" t="s">
        <v>360</v>
      </c>
      <c r="BB4" s="195" t="s">
        <v>361</v>
      </c>
      <c r="BC4" s="195" t="s">
        <v>362</v>
      </c>
      <c r="BD4" s="195" t="s">
        <v>363</v>
      </c>
      <c r="BE4" s="195" t="s">
        <v>364</v>
      </c>
      <c r="BF4" s="195" t="s">
        <v>365</v>
      </c>
      <c r="BG4" s="195" t="s">
        <v>366</v>
      </c>
      <c r="BH4" s="195" t="s">
        <v>367</v>
      </c>
      <c r="BI4" s="195" t="s">
        <v>368</v>
      </c>
    </row>
    <row r="5" spans="1:61" x14ac:dyDescent="0.25">
      <c r="A5" t="s">
        <v>343</v>
      </c>
      <c r="B5" t="s">
        <v>344</v>
      </c>
      <c r="C5" t="s">
        <v>345</v>
      </c>
      <c r="D5" t="s">
        <v>346</v>
      </c>
      <c r="E5" t="s">
        <v>347</v>
      </c>
      <c r="F5" t="s">
        <v>50</v>
      </c>
      <c r="G5" t="s">
        <v>348</v>
      </c>
      <c r="H5" t="s">
        <v>55</v>
      </c>
      <c r="I5" t="s">
        <v>349</v>
      </c>
      <c r="J5" t="s">
        <v>56</v>
      </c>
      <c r="K5" t="s">
        <v>350</v>
      </c>
      <c r="L5" t="s">
        <v>57</v>
      </c>
      <c r="AG5" t="s">
        <v>369</v>
      </c>
      <c r="AH5" t="s">
        <v>370</v>
      </c>
      <c r="AI5" t="s">
        <v>353</v>
      </c>
      <c r="AJ5" t="s">
        <v>350</v>
      </c>
      <c r="AK5" s="1">
        <v>0</v>
      </c>
      <c r="AL5" s="1">
        <v>-60517.48</v>
      </c>
      <c r="AM5" s="1">
        <v>60517.48</v>
      </c>
      <c r="AN5" s="1">
        <v>0</v>
      </c>
      <c r="AO5" s="1">
        <v>0</v>
      </c>
      <c r="AP5" s="1">
        <v>0</v>
      </c>
      <c r="AQ5" s="1">
        <v>0</v>
      </c>
      <c r="AR5" s="1">
        <v>28448.11</v>
      </c>
      <c r="AS5" s="1">
        <v>-28448.11</v>
      </c>
      <c r="AT5" s="1">
        <v>0</v>
      </c>
      <c r="BA5" s="195"/>
      <c r="BB5" s="195"/>
      <c r="BC5" s="195"/>
      <c r="BD5" s="195"/>
      <c r="BE5" s="195"/>
      <c r="BF5" s="195"/>
      <c r="BG5" s="195"/>
      <c r="BH5" s="195"/>
      <c r="BI5" s="195"/>
    </row>
    <row r="6" spans="1:61" x14ac:dyDescent="0.25">
      <c r="A6" t="s">
        <v>343</v>
      </c>
      <c r="B6" t="s">
        <v>344</v>
      </c>
      <c r="C6" t="s">
        <v>345</v>
      </c>
      <c r="D6" t="s">
        <v>346</v>
      </c>
      <c r="E6" t="s">
        <v>347</v>
      </c>
      <c r="F6" t="s">
        <v>50</v>
      </c>
      <c r="G6" t="s">
        <v>348</v>
      </c>
      <c r="H6" t="s">
        <v>55</v>
      </c>
      <c r="I6" t="s">
        <v>371</v>
      </c>
      <c r="J6" t="s">
        <v>60</v>
      </c>
      <c r="K6" t="s">
        <v>372</v>
      </c>
      <c r="L6" t="s">
        <v>63</v>
      </c>
      <c r="AG6" t="s">
        <v>373</v>
      </c>
      <c r="AH6" t="s">
        <v>374</v>
      </c>
      <c r="AI6" t="s">
        <v>353</v>
      </c>
      <c r="AJ6" t="s">
        <v>372</v>
      </c>
      <c r="AK6" s="1">
        <v>55451.66</v>
      </c>
      <c r="AL6" s="1">
        <v>0</v>
      </c>
      <c r="AM6" s="1">
        <v>55451.66</v>
      </c>
      <c r="AN6" s="1">
        <v>27725.83</v>
      </c>
      <c r="AO6" s="1">
        <v>0</v>
      </c>
      <c r="AP6" s="1">
        <v>27725.83</v>
      </c>
      <c r="AQ6" s="1">
        <v>27725.83</v>
      </c>
      <c r="AR6" s="1">
        <v>0</v>
      </c>
      <c r="AS6" s="1">
        <v>27725.83</v>
      </c>
      <c r="AT6" s="1">
        <v>0</v>
      </c>
      <c r="BA6" s="195"/>
      <c r="BB6" s="195"/>
      <c r="BC6" s="195"/>
      <c r="BD6" s="195"/>
      <c r="BE6" s="195"/>
      <c r="BF6" s="195"/>
      <c r="BG6" s="195"/>
      <c r="BH6" s="195"/>
      <c r="BI6" s="195"/>
    </row>
    <row r="7" spans="1:61" x14ac:dyDescent="0.25">
      <c r="A7" t="s">
        <v>343</v>
      </c>
      <c r="B7" t="s">
        <v>344</v>
      </c>
      <c r="C7" t="s">
        <v>345</v>
      </c>
      <c r="D7" t="s">
        <v>346</v>
      </c>
      <c r="E7" t="s">
        <v>347</v>
      </c>
      <c r="F7" t="s">
        <v>50</v>
      </c>
      <c r="G7" t="s">
        <v>348</v>
      </c>
      <c r="H7" t="s">
        <v>55</v>
      </c>
      <c r="I7" t="s">
        <v>371</v>
      </c>
      <c r="J7" t="s">
        <v>60</v>
      </c>
      <c r="K7" t="s">
        <v>372</v>
      </c>
      <c r="L7" t="s">
        <v>63</v>
      </c>
      <c r="AG7" t="s">
        <v>375</v>
      </c>
      <c r="AH7" t="s">
        <v>376</v>
      </c>
      <c r="AI7" t="s">
        <v>353</v>
      </c>
      <c r="AJ7" t="s">
        <v>372</v>
      </c>
      <c r="AK7" s="1">
        <v>23062.9</v>
      </c>
      <c r="AL7" s="1">
        <v>0</v>
      </c>
      <c r="AM7" s="1">
        <v>23062.9</v>
      </c>
      <c r="AN7" s="1">
        <v>11531.45</v>
      </c>
      <c r="AO7" s="1">
        <v>0</v>
      </c>
      <c r="AP7" s="1">
        <v>11531.45</v>
      </c>
      <c r="AQ7" s="1">
        <v>11531.45</v>
      </c>
      <c r="AR7" s="1">
        <v>0</v>
      </c>
      <c r="AS7" s="1">
        <v>11531.45</v>
      </c>
      <c r="AT7" s="1">
        <v>0</v>
      </c>
      <c r="BA7" s="195"/>
      <c r="BB7" s="195"/>
      <c r="BC7" s="195"/>
      <c r="BD7" s="195"/>
      <c r="BE7" s="195"/>
      <c r="BF7" s="195"/>
      <c r="BG7" s="195"/>
      <c r="BH7" s="195"/>
      <c r="BI7" s="195"/>
    </row>
    <row r="8" spans="1:61" x14ac:dyDescent="0.25">
      <c r="A8" t="s">
        <v>343</v>
      </c>
      <c r="B8" t="s">
        <v>344</v>
      </c>
      <c r="C8" t="s">
        <v>345</v>
      </c>
      <c r="D8" t="s">
        <v>346</v>
      </c>
      <c r="E8" t="s">
        <v>347</v>
      </c>
      <c r="F8" t="s">
        <v>50</v>
      </c>
      <c r="G8" t="s">
        <v>348</v>
      </c>
      <c r="H8" t="s">
        <v>55</v>
      </c>
      <c r="I8" t="s">
        <v>371</v>
      </c>
      <c r="J8" t="s">
        <v>60</v>
      </c>
      <c r="K8" t="s">
        <v>372</v>
      </c>
      <c r="L8" t="s">
        <v>63</v>
      </c>
      <c r="AG8" t="s">
        <v>377</v>
      </c>
      <c r="AH8" t="s">
        <v>378</v>
      </c>
      <c r="AI8" t="s">
        <v>353</v>
      </c>
      <c r="AJ8" t="s">
        <v>372</v>
      </c>
      <c r="AK8" s="1">
        <v>639159.26</v>
      </c>
      <c r="AL8" s="1">
        <v>0</v>
      </c>
      <c r="AM8" s="1">
        <v>639159.26</v>
      </c>
      <c r="AN8" s="1">
        <v>364848.63</v>
      </c>
      <c r="AO8" s="1">
        <v>0</v>
      </c>
      <c r="AP8" s="1">
        <v>364848.63</v>
      </c>
      <c r="AQ8" s="1">
        <v>386400.19</v>
      </c>
      <c r="AR8" s="1">
        <v>0</v>
      </c>
      <c r="AS8" s="1">
        <v>386400.19</v>
      </c>
      <c r="AT8" s="1">
        <v>0</v>
      </c>
      <c r="BA8" s="195"/>
      <c r="BB8" s="195"/>
      <c r="BC8" s="195"/>
      <c r="BD8" s="195"/>
      <c r="BE8" s="195"/>
      <c r="BF8" s="195"/>
      <c r="BG8" s="195"/>
      <c r="BH8" s="195"/>
      <c r="BI8" s="195"/>
    </row>
    <row r="9" spans="1:61" x14ac:dyDescent="0.25">
      <c r="A9" t="s">
        <v>343</v>
      </c>
      <c r="B9" t="s">
        <v>344</v>
      </c>
      <c r="C9" t="s">
        <v>345</v>
      </c>
      <c r="D9" t="s">
        <v>346</v>
      </c>
      <c r="E9" t="s">
        <v>347</v>
      </c>
      <c r="F9" t="s">
        <v>50</v>
      </c>
      <c r="G9" t="s">
        <v>348</v>
      </c>
      <c r="H9" t="s">
        <v>55</v>
      </c>
      <c r="I9" t="s">
        <v>371</v>
      </c>
      <c r="J9" t="s">
        <v>60</v>
      </c>
      <c r="K9" t="s">
        <v>372</v>
      </c>
      <c r="L9" t="s">
        <v>63</v>
      </c>
      <c r="AG9" t="s">
        <v>379</v>
      </c>
      <c r="AH9" t="s">
        <v>380</v>
      </c>
      <c r="AI9" t="s">
        <v>353</v>
      </c>
      <c r="AJ9" t="s">
        <v>372</v>
      </c>
      <c r="AK9" s="1">
        <v>199829.56</v>
      </c>
      <c r="AL9" s="1">
        <v>0</v>
      </c>
      <c r="AM9" s="1">
        <v>199829.56</v>
      </c>
      <c r="AN9" s="1">
        <v>91174.78</v>
      </c>
      <c r="AO9" s="1">
        <v>0</v>
      </c>
      <c r="AP9" s="1">
        <v>91174.78</v>
      </c>
      <c r="AQ9" s="1">
        <v>89876.78</v>
      </c>
      <c r="AR9" s="1">
        <v>0</v>
      </c>
      <c r="AS9" s="1">
        <v>89876.78</v>
      </c>
      <c r="AT9" s="1">
        <v>0</v>
      </c>
      <c r="BA9" s="195"/>
      <c r="BB9" s="195"/>
      <c r="BC9" s="195"/>
      <c r="BD9" s="195"/>
      <c r="BE9" s="195"/>
      <c r="BF9" s="195"/>
      <c r="BG9" s="195"/>
      <c r="BH9" s="195"/>
      <c r="BI9" s="195"/>
    </row>
    <row r="10" spans="1:61" x14ac:dyDescent="0.25">
      <c r="A10" t="s">
        <v>343</v>
      </c>
      <c r="B10" t="s">
        <v>344</v>
      </c>
      <c r="C10" t="s">
        <v>345</v>
      </c>
      <c r="D10" t="s">
        <v>346</v>
      </c>
      <c r="E10" t="s">
        <v>347</v>
      </c>
      <c r="F10" t="s">
        <v>50</v>
      </c>
      <c r="G10" t="s">
        <v>348</v>
      </c>
      <c r="H10" t="s">
        <v>55</v>
      </c>
      <c r="I10" t="s">
        <v>371</v>
      </c>
      <c r="J10" t="s">
        <v>60</v>
      </c>
      <c r="K10" t="s">
        <v>372</v>
      </c>
      <c r="L10" t="s">
        <v>63</v>
      </c>
      <c r="AG10" t="s">
        <v>381</v>
      </c>
      <c r="AH10" t="s">
        <v>382</v>
      </c>
      <c r="AI10" t="s">
        <v>353</v>
      </c>
      <c r="AJ10" t="s">
        <v>372</v>
      </c>
      <c r="AK10" s="1">
        <v>0</v>
      </c>
      <c r="AL10" s="1">
        <v>53829.22</v>
      </c>
      <c r="AM10" s="1">
        <v>-53829.22</v>
      </c>
      <c r="AN10" s="1">
        <v>0</v>
      </c>
      <c r="AO10" s="1">
        <v>26314.61</v>
      </c>
      <c r="AP10" s="1">
        <v>-26314.61</v>
      </c>
      <c r="AQ10" s="1">
        <v>0</v>
      </c>
      <c r="AR10" s="1">
        <v>25761.13</v>
      </c>
      <c r="AS10" s="1">
        <v>-25761.13</v>
      </c>
      <c r="AT10" s="1">
        <v>0</v>
      </c>
      <c r="BA10" s="195"/>
      <c r="BB10" s="195"/>
      <c r="BC10" s="195"/>
      <c r="BD10" s="195"/>
      <c r="BE10" s="195"/>
      <c r="BF10" s="195"/>
      <c r="BG10" s="195"/>
      <c r="BH10" s="195"/>
      <c r="BI10" s="195"/>
    </row>
    <row r="11" spans="1:61" x14ac:dyDescent="0.25">
      <c r="A11" t="s">
        <v>343</v>
      </c>
      <c r="B11" t="s">
        <v>344</v>
      </c>
      <c r="C11" t="s">
        <v>345</v>
      </c>
      <c r="D11" t="s">
        <v>346</v>
      </c>
      <c r="E11" t="s">
        <v>347</v>
      </c>
      <c r="F11" t="s">
        <v>50</v>
      </c>
      <c r="G11" t="s">
        <v>348</v>
      </c>
      <c r="H11" t="s">
        <v>55</v>
      </c>
      <c r="I11" t="s">
        <v>371</v>
      </c>
      <c r="J11" t="s">
        <v>60</v>
      </c>
      <c r="K11" t="s">
        <v>372</v>
      </c>
      <c r="L11" t="s">
        <v>63</v>
      </c>
      <c r="AG11" t="s">
        <v>383</v>
      </c>
      <c r="AH11" t="s">
        <v>384</v>
      </c>
      <c r="AI11" t="s">
        <v>353</v>
      </c>
      <c r="AJ11" t="s">
        <v>372</v>
      </c>
      <c r="AK11" s="1">
        <v>0</v>
      </c>
      <c r="AL11" s="1">
        <v>23062.9</v>
      </c>
      <c r="AM11" s="1">
        <v>-23062.9</v>
      </c>
      <c r="AN11" s="1">
        <v>0</v>
      </c>
      <c r="AO11" s="1">
        <v>11531.45</v>
      </c>
      <c r="AP11" s="1">
        <v>-11531.45</v>
      </c>
      <c r="AQ11" s="1">
        <v>0</v>
      </c>
      <c r="AR11" s="1">
        <v>11531.45</v>
      </c>
      <c r="AS11" s="1">
        <v>-11531.45</v>
      </c>
      <c r="AT11" s="1">
        <v>0</v>
      </c>
      <c r="BA11" s="195"/>
      <c r="BB11" s="195"/>
      <c r="BC11" s="195"/>
      <c r="BD11" s="195"/>
      <c r="BE11" s="195"/>
      <c r="BF11" s="195"/>
      <c r="BG11" s="195"/>
      <c r="BH11" s="195"/>
      <c r="BI11" s="195"/>
    </row>
    <row r="12" spans="1:61" x14ac:dyDescent="0.25">
      <c r="A12" t="s">
        <v>343</v>
      </c>
      <c r="B12" t="s">
        <v>344</v>
      </c>
      <c r="C12" t="s">
        <v>345</v>
      </c>
      <c r="D12" t="s">
        <v>346</v>
      </c>
      <c r="E12" t="s">
        <v>347</v>
      </c>
      <c r="F12" t="s">
        <v>50</v>
      </c>
      <c r="G12" t="s">
        <v>348</v>
      </c>
      <c r="H12" t="s">
        <v>55</v>
      </c>
      <c r="I12" t="s">
        <v>371</v>
      </c>
      <c r="J12" t="s">
        <v>60</v>
      </c>
      <c r="K12" t="s">
        <v>372</v>
      </c>
      <c r="L12" t="s">
        <v>63</v>
      </c>
      <c r="AG12" t="s">
        <v>385</v>
      </c>
      <c r="AH12" t="s">
        <v>386</v>
      </c>
      <c r="AI12" t="s">
        <v>353</v>
      </c>
      <c r="AJ12" t="s">
        <v>372</v>
      </c>
      <c r="AK12" s="1">
        <v>0</v>
      </c>
      <c r="AL12" s="1">
        <v>698109.24</v>
      </c>
      <c r="AM12" s="1">
        <v>-698109.24</v>
      </c>
      <c r="AN12" s="1">
        <v>0</v>
      </c>
      <c r="AO12" s="1">
        <v>349907.09</v>
      </c>
      <c r="AP12" s="1">
        <v>-349907.09</v>
      </c>
      <c r="AQ12" s="1">
        <v>0</v>
      </c>
      <c r="AR12" s="1">
        <v>363977.45</v>
      </c>
      <c r="AS12" s="1">
        <v>-363977.45</v>
      </c>
      <c r="AT12" s="1">
        <v>0</v>
      </c>
      <c r="BA12" s="195"/>
      <c r="BB12" s="195"/>
      <c r="BC12" s="195"/>
      <c r="BD12" s="195"/>
      <c r="BE12" s="195"/>
      <c r="BF12" s="195"/>
      <c r="BG12" s="195"/>
      <c r="BH12" s="195"/>
      <c r="BI12" s="195"/>
    </row>
    <row r="13" spans="1:61" x14ac:dyDescent="0.25">
      <c r="A13" t="s">
        <v>343</v>
      </c>
      <c r="B13" t="s">
        <v>344</v>
      </c>
      <c r="C13" t="s">
        <v>345</v>
      </c>
      <c r="D13" t="s">
        <v>346</v>
      </c>
      <c r="E13" t="s">
        <v>347</v>
      </c>
      <c r="F13" t="s">
        <v>50</v>
      </c>
      <c r="G13" t="s">
        <v>348</v>
      </c>
      <c r="H13" t="s">
        <v>55</v>
      </c>
      <c r="I13" t="s">
        <v>371</v>
      </c>
      <c r="J13" t="s">
        <v>60</v>
      </c>
      <c r="K13" t="s">
        <v>372</v>
      </c>
      <c r="L13" t="s">
        <v>63</v>
      </c>
      <c r="AG13" t="s">
        <v>387</v>
      </c>
      <c r="AH13" t="s">
        <v>388</v>
      </c>
      <c r="AI13" t="s">
        <v>353</v>
      </c>
      <c r="AJ13" t="s">
        <v>372</v>
      </c>
      <c r="AK13" s="1">
        <v>0</v>
      </c>
      <c r="AL13" s="1">
        <v>160453.42000000001</v>
      </c>
      <c r="AM13" s="1">
        <v>-160453.42000000001</v>
      </c>
      <c r="AN13" s="1">
        <v>0</v>
      </c>
      <c r="AO13" s="1">
        <v>71726.710000000006</v>
      </c>
      <c r="AP13" s="1">
        <v>-71726.710000000006</v>
      </c>
      <c r="AQ13" s="1">
        <v>0</v>
      </c>
      <c r="AR13" s="1">
        <v>63533.63</v>
      </c>
      <c r="AS13" s="1">
        <v>-63533.63</v>
      </c>
      <c r="AT13" s="1">
        <v>0</v>
      </c>
      <c r="BA13" s="195"/>
      <c r="BB13" s="195"/>
      <c r="BC13" s="195"/>
      <c r="BD13" s="195"/>
      <c r="BE13" s="195"/>
      <c r="BF13" s="195"/>
      <c r="BG13" s="195"/>
      <c r="BH13" s="195"/>
      <c r="BI13" s="195"/>
    </row>
    <row r="14" spans="1:61" x14ac:dyDescent="0.25">
      <c r="A14" t="s">
        <v>343</v>
      </c>
      <c r="B14" t="s">
        <v>344</v>
      </c>
      <c r="C14" t="s">
        <v>345</v>
      </c>
      <c r="D14" t="s">
        <v>346</v>
      </c>
      <c r="E14" t="s">
        <v>347</v>
      </c>
      <c r="F14" t="s">
        <v>50</v>
      </c>
      <c r="G14" t="s">
        <v>348</v>
      </c>
      <c r="H14" t="s">
        <v>55</v>
      </c>
      <c r="I14" t="s">
        <v>389</v>
      </c>
      <c r="J14" t="s">
        <v>66</v>
      </c>
      <c r="K14" t="s">
        <v>390</v>
      </c>
      <c r="L14" t="s">
        <v>391</v>
      </c>
      <c r="AG14" t="s">
        <v>392</v>
      </c>
      <c r="AH14" t="s">
        <v>393</v>
      </c>
      <c r="AI14" t="s">
        <v>353</v>
      </c>
      <c r="AJ14" t="s">
        <v>390</v>
      </c>
      <c r="AK14" s="1">
        <v>52137.56</v>
      </c>
      <c r="AL14" s="1">
        <v>0</v>
      </c>
      <c r="AM14" s="1">
        <v>52137.56</v>
      </c>
      <c r="AN14" s="1">
        <v>26068.78</v>
      </c>
      <c r="AO14" s="1">
        <v>0</v>
      </c>
      <c r="AP14" s="1">
        <v>26068.78</v>
      </c>
      <c r="AQ14" s="1">
        <v>26068.78</v>
      </c>
      <c r="AR14" s="1">
        <v>0</v>
      </c>
      <c r="AS14" s="1">
        <v>26068.78</v>
      </c>
      <c r="AT14" s="1">
        <v>0</v>
      </c>
      <c r="BA14" s="195"/>
      <c r="BB14" s="195"/>
      <c r="BC14" s="195"/>
      <c r="BD14" s="195"/>
      <c r="BE14" s="195"/>
      <c r="BF14" s="195"/>
      <c r="BG14" s="195"/>
      <c r="BH14" s="195"/>
      <c r="BI14" s="195"/>
    </row>
    <row r="15" spans="1:61" x14ac:dyDescent="0.25">
      <c r="A15" t="s">
        <v>343</v>
      </c>
      <c r="B15" t="s">
        <v>344</v>
      </c>
      <c r="C15" t="s">
        <v>345</v>
      </c>
      <c r="D15" t="s">
        <v>346</v>
      </c>
      <c r="E15" t="s">
        <v>347</v>
      </c>
      <c r="F15" t="s">
        <v>50</v>
      </c>
      <c r="G15" t="s">
        <v>348</v>
      </c>
      <c r="H15" t="s">
        <v>55</v>
      </c>
      <c r="I15" t="s">
        <v>389</v>
      </c>
      <c r="J15" t="s">
        <v>66</v>
      </c>
      <c r="K15" t="s">
        <v>390</v>
      </c>
      <c r="L15" t="s">
        <v>391</v>
      </c>
      <c r="AG15" t="s">
        <v>394</v>
      </c>
      <c r="AH15" t="s">
        <v>395</v>
      </c>
      <c r="AI15" t="s">
        <v>353</v>
      </c>
      <c r="AJ15" t="s">
        <v>390</v>
      </c>
      <c r="AK15" s="1">
        <v>35368.18</v>
      </c>
      <c r="AL15" s="1">
        <v>0</v>
      </c>
      <c r="AM15" s="1">
        <v>35368.18</v>
      </c>
      <c r="AN15" s="1">
        <v>17684.09</v>
      </c>
      <c r="AO15" s="1">
        <v>0</v>
      </c>
      <c r="AP15" s="1">
        <v>17684.09</v>
      </c>
      <c r="AQ15" s="1">
        <v>17684.09</v>
      </c>
      <c r="AR15" s="1">
        <v>0</v>
      </c>
      <c r="AS15" s="1">
        <v>17684.09</v>
      </c>
      <c r="AT15" s="1">
        <v>0</v>
      </c>
      <c r="BA15" s="195"/>
      <c r="BB15" s="195"/>
      <c r="BC15" s="195"/>
      <c r="BD15" s="195"/>
      <c r="BE15" s="195"/>
      <c r="BF15" s="195"/>
      <c r="BG15" s="195"/>
      <c r="BH15" s="195"/>
      <c r="BI15" s="195"/>
    </row>
    <row r="16" spans="1:61" x14ac:dyDescent="0.25">
      <c r="A16" t="s">
        <v>343</v>
      </c>
      <c r="B16" t="s">
        <v>344</v>
      </c>
      <c r="C16" t="s">
        <v>345</v>
      </c>
      <c r="D16" t="s">
        <v>346</v>
      </c>
      <c r="E16" t="s">
        <v>347</v>
      </c>
      <c r="F16" t="s">
        <v>50</v>
      </c>
      <c r="G16" t="s">
        <v>348</v>
      </c>
      <c r="H16" t="s">
        <v>55</v>
      </c>
      <c r="I16" t="s">
        <v>389</v>
      </c>
      <c r="J16" t="s">
        <v>66</v>
      </c>
      <c r="K16" t="s">
        <v>390</v>
      </c>
      <c r="L16" t="s">
        <v>391</v>
      </c>
      <c r="AG16" t="s">
        <v>396</v>
      </c>
      <c r="AH16" t="s">
        <v>397</v>
      </c>
      <c r="AI16" t="s">
        <v>353</v>
      </c>
      <c r="AJ16" t="s">
        <v>390</v>
      </c>
      <c r="AK16" s="1">
        <v>914.7</v>
      </c>
      <c r="AL16" s="1">
        <v>0</v>
      </c>
      <c r="AM16" s="1">
        <v>914.7</v>
      </c>
      <c r="AN16" s="1">
        <v>457.35</v>
      </c>
      <c r="AO16" s="1">
        <v>0</v>
      </c>
      <c r="AP16" s="1">
        <v>457.35</v>
      </c>
      <c r="AQ16" s="1">
        <v>457.35</v>
      </c>
      <c r="AR16" s="1">
        <v>0</v>
      </c>
      <c r="AS16" s="1">
        <v>457.35</v>
      </c>
      <c r="AT16" s="1">
        <v>0</v>
      </c>
      <c r="BA16" s="195"/>
      <c r="BB16" s="195"/>
      <c r="BC16" s="195"/>
      <c r="BD16" s="195"/>
      <c r="BE16" s="195"/>
      <c r="BF16" s="195"/>
      <c r="BG16" s="195"/>
      <c r="BH16" s="195"/>
      <c r="BI16" s="195"/>
    </row>
    <row r="17" spans="1:61" x14ac:dyDescent="0.25">
      <c r="A17" t="s">
        <v>343</v>
      </c>
      <c r="B17" t="s">
        <v>344</v>
      </c>
      <c r="C17" t="s">
        <v>345</v>
      </c>
      <c r="D17" t="s">
        <v>346</v>
      </c>
      <c r="E17" t="s">
        <v>347</v>
      </c>
      <c r="F17" t="s">
        <v>50</v>
      </c>
      <c r="G17" t="s">
        <v>348</v>
      </c>
      <c r="H17" t="s">
        <v>55</v>
      </c>
      <c r="I17" t="s">
        <v>389</v>
      </c>
      <c r="J17" t="s">
        <v>66</v>
      </c>
      <c r="K17" t="s">
        <v>390</v>
      </c>
      <c r="L17" t="s">
        <v>391</v>
      </c>
      <c r="AG17" t="s">
        <v>398</v>
      </c>
      <c r="AH17" t="s">
        <v>399</v>
      </c>
      <c r="AI17" t="s">
        <v>353</v>
      </c>
      <c r="AJ17" t="s">
        <v>390</v>
      </c>
      <c r="AK17" s="1">
        <v>-11718.78</v>
      </c>
      <c r="AL17" s="1">
        <v>0</v>
      </c>
      <c r="AM17" s="1">
        <v>-11718.78</v>
      </c>
      <c r="AN17" s="1">
        <v>0</v>
      </c>
      <c r="AO17" s="1">
        <v>0</v>
      </c>
      <c r="AP17" s="1">
        <v>0</v>
      </c>
      <c r="AQ17" s="1">
        <v>5292</v>
      </c>
      <c r="AR17" s="1">
        <v>0</v>
      </c>
      <c r="AS17" s="1">
        <v>5292</v>
      </c>
      <c r="AT17" s="1">
        <v>0</v>
      </c>
      <c r="BA17" s="195"/>
      <c r="BB17" s="195"/>
      <c r="BC17" s="195"/>
      <c r="BD17" s="195"/>
      <c r="BE17" s="195"/>
      <c r="BF17" s="195"/>
      <c r="BG17" s="195"/>
      <c r="BH17" s="195"/>
      <c r="BI17" s="195"/>
    </row>
    <row r="18" spans="1:61" x14ac:dyDescent="0.25">
      <c r="A18" t="s">
        <v>343</v>
      </c>
      <c r="B18" t="s">
        <v>344</v>
      </c>
      <c r="C18" t="s">
        <v>345</v>
      </c>
      <c r="D18" t="s">
        <v>346</v>
      </c>
      <c r="E18" t="s">
        <v>347</v>
      </c>
      <c r="F18" t="s">
        <v>50</v>
      </c>
      <c r="G18" t="s">
        <v>348</v>
      </c>
      <c r="H18" t="s">
        <v>55</v>
      </c>
      <c r="I18" t="s">
        <v>389</v>
      </c>
      <c r="J18" t="s">
        <v>66</v>
      </c>
      <c r="K18" t="s">
        <v>390</v>
      </c>
      <c r="L18" t="s">
        <v>391</v>
      </c>
      <c r="AG18" t="s">
        <v>400</v>
      </c>
      <c r="AH18" t="s">
        <v>401</v>
      </c>
      <c r="AI18" t="s">
        <v>353</v>
      </c>
      <c r="AJ18" t="s">
        <v>390</v>
      </c>
      <c r="AK18" s="1">
        <v>27940.54</v>
      </c>
      <c r="AL18" s="1">
        <v>0</v>
      </c>
      <c r="AM18" s="1">
        <v>27940.54</v>
      </c>
      <c r="AN18" s="1">
        <v>13918.01</v>
      </c>
      <c r="AO18" s="1">
        <v>0</v>
      </c>
      <c r="AP18" s="1">
        <v>13918.01</v>
      </c>
      <c r="AQ18" s="1">
        <v>9200.01</v>
      </c>
      <c r="AR18" s="1">
        <v>0</v>
      </c>
      <c r="AS18" s="1">
        <v>9200.01</v>
      </c>
      <c r="AT18" s="1">
        <v>0</v>
      </c>
      <c r="BA18" s="195"/>
      <c r="BB18" s="195"/>
      <c r="BC18" s="195"/>
      <c r="BD18" s="195"/>
      <c r="BE18" s="195"/>
      <c r="BF18" s="195"/>
      <c r="BG18" s="195"/>
      <c r="BH18" s="195"/>
      <c r="BI18" s="195"/>
    </row>
    <row r="19" spans="1:61" x14ac:dyDescent="0.25">
      <c r="A19" t="s">
        <v>343</v>
      </c>
      <c r="B19" t="s">
        <v>344</v>
      </c>
      <c r="C19" t="s">
        <v>345</v>
      </c>
      <c r="D19" t="s">
        <v>346</v>
      </c>
      <c r="E19" t="s">
        <v>347</v>
      </c>
      <c r="F19" t="s">
        <v>50</v>
      </c>
      <c r="G19" t="s">
        <v>348</v>
      </c>
      <c r="H19" t="s">
        <v>55</v>
      </c>
      <c r="I19" t="s">
        <v>389</v>
      </c>
      <c r="J19" t="s">
        <v>66</v>
      </c>
      <c r="K19" t="s">
        <v>390</v>
      </c>
      <c r="L19" t="s">
        <v>391</v>
      </c>
      <c r="AG19" t="s">
        <v>402</v>
      </c>
      <c r="AH19" t="s">
        <v>403</v>
      </c>
      <c r="AI19" t="s">
        <v>353</v>
      </c>
      <c r="AJ19" t="s">
        <v>390</v>
      </c>
      <c r="AK19" s="1">
        <v>60</v>
      </c>
      <c r="AL19" s="1">
        <v>0</v>
      </c>
      <c r="AM19" s="1">
        <v>60</v>
      </c>
      <c r="AN19" s="1">
        <v>30</v>
      </c>
      <c r="AO19" s="1">
        <v>0</v>
      </c>
      <c r="AP19" s="1">
        <v>30</v>
      </c>
      <c r="AQ19" s="1">
        <v>30</v>
      </c>
      <c r="AR19" s="1">
        <v>0</v>
      </c>
      <c r="AS19" s="1">
        <v>30</v>
      </c>
      <c r="AT19" s="1">
        <v>0</v>
      </c>
      <c r="BA19" s="195"/>
      <c r="BB19" s="195"/>
      <c r="BC19" s="195"/>
      <c r="BD19" s="195"/>
      <c r="BE19" s="195"/>
      <c r="BF19" s="195"/>
      <c r="BG19" s="195"/>
      <c r="BH19" s="195"/>
      <c r="BI19" s="195"/>
    </row>
    <row r="20" spans="1:61" x14ac:dyDescent="0.25">
      <c r="A20" t="s">
        <v>343</v>
      </c>
      <c r="B20" t="s">
        <v>344</v>
      </c>
      <c r="C20" t="s">
        <v>345</v>
      </c>
      <c r="D20" t="s">
        <v>346</v>
      </c>
      <c r="E20" t="s">
        <v>347</v>
      </c>
      <c r="F20" t="s">
        <v>50</v>
      </c>
      <c r="G20" t="s">
        <v>404</v>
      </c>
      <c r="H20" t="s">
        <v>405</v>
      </c>
      <c r="I20" t="s">
        <v>406</v>
      </c>
      <c r="J20" t="s">
        <v>68</v>
      </c>
      <c r="K20" t="s">
        <v>407</v>
      </c>
      <c r="L20" t="s">
        <v>70</v>
      </c>
      <c r="AG20" t="s">
        <v>408</v>
      </c>
      <c r="AH20" t="s">
        <v>409</v>
      </c>
      <c r="AI20" t="s">
        <v>353</v>
      </c>
      <c r="AJ20" t="s">
        <v>407</v>
      </c>
      <c r="AK20" s="1">
        <v>63147.26</v>
      </c>
      <c r="AL20" s="1">
        <v>0</v>
      </c>
      <c r="AM20" s="1">
        <v>63147.26</v>
      </c>
      <c r="AN20" s="1">
        <v>22814</v>
      </c>
      <c r="AO20" s="1">
        <v>0</v>
      </c>
      <c r="AP20" s="1">
        <v>22814</v>
      </c>
      <c r="AQ20" s="1">
        <v>13090</v>
      </c>
      <c r="AR20" s="1">
        <v>0</v>
      </c>
      <c r="AS20" s="1">
        <v>13090</v>
      </c>
      <c r="AT20" s="1">
        <v>0</v>
      </c>
      <c r="BA20" s="195"/>
      <c r="BB20" s="195"/>
      <c r="BC20" s="195"/>
      <c r="BD20" s="195"/>
      <c r="BE20" s="195"/>
      <c r="BF20" s="195"/>
      <c r="BG20" s="195"/>
      <c r="BH20" s="195"/>
      <c r="BI20" s="195"/>
    </row>
    <row r="21" spans="1:61" x14ac:dyDescent="0.25">
      <c r="A21" t="s">
        <v>343</v>
      </c>
      <c r="B21" t="s">
        <v>344</v>
      </c>
      <c r="C21" t="s">
        <v>345</v>
      </c>
      <c r="D21" t="s">
        <v>346</v>
      </c>
      <c r="E21" t="s">
        <v>347</v>
      </c>
      <c r="F21" t="s">
        <v>50</v>
      </c>
      <c r="G21" t="s">
        <v>404</v>
      </c>
      <c r="H21" t="s">
        <v>405</v>
      </c>
      <c r="I21" t="s">
        <v>406</v>
      </c>
      <c r="J21" t="s">
        <v>68</v>
      </c>
      <c r="K21" t="s">
        <v>410</v>
      </c>
      <c r="L21" t="s">
        <v>71</v>
      </c>
      <c r="AG21" t="s">
        <v>411</v>
      </c>
      <c r="AH21" t="s">
        <v>412</v>
      </c>
      <c r="AI21" t="s">
        <v>353</v>
      </c>
      <c r="AJ21" t="s">
        <v>410</v>
      </c>
      <c r="AK21" s="1">
        <v>92599.02</v>
      </c>
      <c r="AL21" s="1">
        <v>0</v>
      </c>
      <c r="AM21" s="1">
        <v>92599.02</v>
      </c>
      <c r="AN21" s="1">
        <v>55261.51</v>
      </c>
      <c r="AO21" s="1">
        <v>0</v>
      </c>
      <c r="AP21" s="1">
        <v>55261.51</v>
      </c>
      <c r="AQ21" s="1">
        <v>95534.53</v>
      </c>
      <c r="AR21" s="1">
        <v>0</v>
      </c>
      <c r="AS21" s="1">
        <v>95534.53</v>
      </c>
      <c r="AT21" s="1">
        <v>0</v>
      </c>
      <c r="BA21" s="195"/>
      <c r="BB21" s="195"/>
      <c r="BC21" s="195"/>
      <c r="BD21" s="195"/>
      <c r="BE21" s="195"/>
      <c r="BF21" s="195"/>
      <c r="BG21" s="195"/>
      <c r="BH21" s="195"/>
      <c r="BI21" s="195"/>
    </row>
    <row r="22" spans="1:61" x14ac:dyDescent="0.25">
      <c r="A22" t="s">
        <v>343</v>
      </c>
      <c r="B22" t="s">
        <v>344</v>
      </c>
      <c r="C22" t="s">
        <v>345</v>
      </c>
      <c r="D22" t="s">
        <v>346</v>
      </c>
      <c r="E22" t="s">
        <v>347</v>
      </c>
      <c r="F22" t="s">
        <v>50</v>
      </c>
      <c r="G22" t="s">
        <v>404</v>
      </c>
      <c r="H22" t="s">
        <v>405</v>
      </c>
      <c r="I22" t="s">
        <v>406</v>
      </c>
      <c r="J22" t="s">
        <v>68</v>
      </c>
      <c r="K22" t="s">
        <v>410</v>
      </c>
      <c r="L22" t="s">
        <v>71</v>
      </c>
      <c r="AG22" t="s">
        <v>413</v>
      </c>
      <c r="AH22" t="s">
        <v>414</v>
      </c>
      <c r="AI22" t="s">
        <v>353</v>
      </c>
      <c r="AJ22" t="s">
        <v>410</v>
      </c>
      <c r="AK22" s="1">
        <v>0</v>
      </c>
      <c r="AL22" s="1">
        <v>26195.84</v>
      </c>
      <c r="AM22" s="1">
        <v>-26195.84</v>
      </c>
      <c r="AN22" s="1">
        <v>0</v>
      </c>
      <c r="AO22" s="1">
        <v>6097.92</v>
      </c>
      <c r="AP22" s="1">
        <v>-6097.92</v>
      </c>
      <c r="AQ22" s="1">
        <v>0</v>
      </c>
      <c r="AR22" s="1">
        <v>0</v>
      </c>
      <c r="AS22" s="1">
        <v>0</v>
      </c>
      <c r="AT22" s="1">
        <v>0</v>
      </c>
      <c r="BA22" s="195"/>
      <c r="BB22" s="195"/>
      <c r="BC22" s="195"/>
      <c r="BD22" s="195"/>
      <c r="BE22" s="195"/>
      <c r="BF22" s="195"/>
      <c r="BG22" s="195"/>
      <c r="BH22" s="195"/>
      <c r="BI22" s="195"/>
    </row>
    <row r="23" spans="1:61" x14ac:dyDescent="0.25">
      <c r="A23" t="s">
        <v>343</v>
      </c>
      <c r="B23" t="s">
        <v>344</v>
      </c>
      <c r="C23" t="s">
        <v>345</v>
      </c>
      <c r="D23" t="s">
        <v>346</v>
      </c>
      <c r="E23" t="s">
        <v>347</v>
      </c>
      <c r="F23" t="s">
        <v>50</v>
      </c>
      <c r="G23" t="s">
        <v>404</v>
      </c>
      <c r="H23" t="s">
        <v>405</v>
      </c>
      <c r="I23" t="s">
        <v>415</v>
      </c>
      <c r="J23" t="s">
        <v>72</v>
      </c>
      <c r="K23" t="s">
        <v>416</v>
      </c>
      <c r="L23" t="s">
        <v>417</v>
      </c>
      <c r="AG23" t="s">
        <v>418</v>
      </c>
      <c r="AH23" t="s">
        <v>419</v>
      </c>
      <c r="AI23" t="s">
        <v>353</v>
      </c>
      <c r="AJ23" t="s">
        <v>416</v>
      </c>
      <c r="AK23" s="1">
        <v>519221.1</v>
      </c>
      <c r="AL23" s="1">
        <v>0</v>
      </c>
      <c r="AM23" s="1">
        <v>519221.1</v>
      </c>
      <c r="AN23" s="1">
        <v>244610.55</v>
      </c>
      <c r="AO23" s="1">
        <v>0</v>
      </c>
      <c r="AP23" s="1">
        <v>244610.55</v>
      </c>
      <c r="AQ23" s="1">
        <v>74781.11</v>
      </c>
      <c r="AR23" s="1">
        <v>0</v>
      </c>
      <c r="AS23" s="1">
        <v>74781.11</v>
      </c>
      <c r="AT23" s="1">
        <v>0</v>
      </c>
      <c r="BA23" s="195"/>
      <c r="BB23" s="195"/>
      <c r="BC23" s="195"/>
      <c r="BD23" s="195"/>
      <c r="BE23" s="195"/>
      <c r="BF23" s="195"/>
      <c r="BG23" s="195"/>
      <c r="BH23" s="195"/>
      <c r="BI23" s="195"/>
    </row>
    <row r="24" spans="1:61" x14ac:dyDescent="0.25">
      <c r="A24" t="s">
        <v>343</v>
      </c>
      <c r="B24" t="s">
        <v>344</v>
      </c>
      <c r="C24" t="s">
        <v>345</v>
      </c>
      <c r="D24" t="s">
        <v>346</v>
      </c>
      <c r="E24" t="s">
        <v>347</v>
      </c>
      <c r="F24" t="s">
        <v>50</v>
      </c>
      <c r="G24" t="s">
        <v>404</v>
      </c>
      <c r="H24" t="s">
        <v>405</v>
      </c>
      <c r="I24" t="s">
        <v>415</v>
      </c>
      <c r="J24" t="s">
        <v>72</v>
      </c>
      <c r="K24" t="s">
        <v>416</v>
      </c>
      <c r="L24" t="s">
        <v>417</v>
      </c>
      <c r="AG24" t="s">
        <v>420</v>
      </c>
      <c r="AH24" t="s">
        <v>421</v>
      </c>
      <c r="AI24" t="s">
        <v>353</v>
      </c>
      <c r="AJ24" t="s">
        <v>416</v>
      </c>
      <c r="AK24" s="1">
        <v>4222766.46</v>
      </c>
      <c r="AL24" s="1">
        <v>0</v>
      </c>
      <c r="AM24" s="1">
        <v>4222766.46</v>
      </c>
      <c r="AN24" s="1">
        <v>2111298.2200000002</v>
      </c>
      <c r="AO24" s="1">
        <v>0</v>
      </c>
      <c r="AP24" s="1">
        <v>2111298.2200000002</v>
      </c>
      <c r="AQ24" s="1">
        <v>2026954.62</v>
      </c>
      <c r="AR24" s="1">
        <v>0</v>
      </c>
      <c r="AS24" s="1">
        <v>2026954.62</v>
      </c>
      <c r="AT24" s="1">
        <v>0</v>
      </c>
      <c r="BA24" s="195"/>
      <c r="BB24" s="195"/>
      <c r="BC24" s="195"/>
      <c r="BD24" s="195"/>
      <c r="BE24" s="195"/>
      <c r="BF24" s="195"/>
      <c r="BG24" s="195"/>
      <c r="BH24" s="195"/>
      <c r="BI24" s="195"/>
    </row>
    <row r="25" spans="1:61" x14ac:dyDescent="0.25">
      <c r="A25" t="s">
        <v>343</v>
      </c>
      <c r="B25" t="s">
        <v>344</v>
      </c>
      <c r="C25" t="s">
        <v>345</v>
      </c>
      <c r="D25" t="s">
        <v>346</v>
      </c>
      <c r="E25" t="s">
        <v>347</v>
      </c>
      <c r="F25" t="s">
        <v>50</v>
      </c>
      <c r="G25" t="s">
        <v>404</v>
      </c>
      <c r="H25" t="s">
        <v>405</v>
      </c>
      <c r="I25" t="s">
        <v>415</v>
      </c>
      <c r="J25" t="s">
        <v>72</v>
      </c>
      <c r="K25" t="s">
        <v>416</v>
      </c>
      <c r="L25" t="s">
        <v>417</v>
      </c>
      <c r="AG25" t="s">
        <v>422</v>
      </c>
      <c r="AH25" t="s">
        <v>423</v>
      </c>
      <c r="AI25" t="s">
        <v>353</v>
      </c>
      <c r="AJ25" t="s">
        <v>416</v>
      </c>
      <c r="AK25" s="1">
        <v>338046.32</v>
      </c>
      <c r="AL25" s="1">
        <v>0</v>
      </c>
      <c r="AM25" s="1">
        <v>338046.32</v>
      </c>
      <c r="AN25" s="1">
        <v>84023.16</v>
      </c>
      <c r="AO25" s="1">
        <v>0</v>
      </c>
      <c r="AP25" s="1">
        <v>84023.16</v>
      </c>
      <c r="AQ25" s="1">
        <v>43671.839999999997</v>
      </c>
      <c r="AR25" s="1">
        <v>0</v>
      </c>
      <c r="AS25" s="1">
        <v>43671.839999999997</v>
      </c>
      <c r="AT25" s="1">
        <v>0</v>
      </c>
      <c r="BA25" s="195"/>
      <c r="BB25" s="195"/>
      <c r="BC25" s="195"/>
      <c r="BD25" s="195"/>
      <c r="BE25" s="195"/>
      <c r="BF25" s="195"/>
      <c r="BG25" s="195"/>
      <c r="BH25" s="195"/>
      <c r="BI25" s="195"/>
    </row>
    <row r="26" spans="1:61" x14ac:dyDescent="0.25">
      <c r="A26" t="s">
        <v>343</v>
      </c>
      <c r="B26" t="s">
        <v>344</v>
      </c>
      <c r="C26" t="s">
        <v>345</v>
      </c>
      <c r="D26" t="s">
        <v>346</v>
      </c>
      <c r="E26" t="s">
        <v>347</v>
      </c>
      <c r="F26" t="s">
        <v>50</v>
      </c>
      <c r="G26" t="s">
        <v>404</v>
      </c>
      <c r="H26" t="s">
        <v>405</v>
      </c>
      <c r="I26" t="s">
        <v>415</v>
      </c>
      <c r="J26" t="s">
        <v>72</v>
      </c>
      <c r="K26" t="s">
        <v>416</v>
      </c>
      <c r="L26" t="s">
        <v>417</v>
      </c>
      <c r="AG26" t="s">
        <v>424</v>
      </c>
      <c r="AH26" t="s">
        <v>425</v>
      </c>
      <c r="AI26" t="s">
        <v>353</v>
      </c>
      <c r="AJ26" t="s">
        <v>416</v>
      </c>
      <c r="AK26" s="1">
        <v>0</v>
      </c>
      <c r="AL26" s="1">
        <v>0</v>
      </c>
      <c r="AM26" s="1">
        <v>0</v>
      </c>
      <c r="AN26" s="1">
        <v>1550</v>
      </c>
      <c r="AO26" s="1">
        <v>0</v>
      </c>
      <c r="AP26" s="1">
        <v>1550</v>
      </c>
      <c r="AQ26" s="1">
        <v>3009.7</v>
      </c>
      <c r="AR26" s="1">
        <v>0</v>
      </c>
      <c r="AS26" s="1">
        <v>3009.7</v>
      </c>
      <c r="AT26" s="1">
        <v>0</v>
      </c>
      <c r="BA26" s="195"/>
      <c r="BB26" s="195"/>
      <c r="BC26" s="195"/>
      <c r="BD26" s="195"/>
      <c r="BE26" s="195"/>
      <c r="BF26" s="195"/>
      <c r="BG26" s="195"/>
      <c r="BH26" s="195"/>
      <c r="BI26" s="195"/>
    </row>
    <row r="27" spans="1:61" x14ac:dyDescent="0.25">
      <c r="A27" t="s">
        <v>343</v>
      </c>
      <c r="B27" t="s">
        <v>344</v>
      </c>
      <c r="C27" t="s">
        <v>345</v>
      </c>
      <c r="D27" t="s">
        <v>346</v>
      </c>
      <c r="E27" t="s">
        <v>347</v>
      </c>
      <c r="F27" t="s">
        <v>50</v>
      </c>
      <c r="G27" t="s">
        <v>404</v>
      </c>
      <c r="H27" t="s">
        <v>405</v>
      </c>
      <c r="I27" t="s">
        <v>415</v>
      </c>
      <c r="J27" t="s">
        <v>72</v>
      </c>
      <c r="K27" t="s">
        <v>416</v>
      </c>
      <c r="L27" t="s">
        <v>417</v>
      </c>
      <c r="AG27" t="s">
        <v>426</v>
      </c>
      <c r="AH27" t="s">
        <v>427</v>
      </c>
      <c r="AI27" t="s">
        <v>353</v>
      </c>
      <c r="AJ27" t="s">
        <v>416</v>
      </c>
      <c r="AK27" s="1">
        <v>244257.02</v>
      </c>
      <c r="AL27" s="1">
        <v>0</v>
      </c>
      <c r="AM27" s="1">
        <v>244257.02</v>
      </c>
      <c r="AN27" s="1">
        <v>122128.51</v>
      </c>
      <c r="AO27" s="1">
        <v>0</v>
      </c>
      <c r="AP27" s="1">
        <v>122128.51</v>
      </c>
      <c r="AQ27" s="1">
        <v>122128.51</v>
      </c>
      <c r="AR27" s="1">
        <v>0</v>
      </c>
      <c r="AS27" s="1">
        <v>122128.51</v>
      </c>
      <c r="AT27" s="1">
        <v>0</v>
      </c>
      <c r="BA27" s="195"/>
      <c r="BB27" s="195"/>
      <c r="BC27" s="195"/>
      <c r="BD27" s="195"/>
      <c r="BE27" s="195"/>
      <c r="BF27" s="195"/>
      <c r="BG27" s="195"/>
      <c r="BH27" s="195"/>
      <c r="BI27" s="195"/>
    </row>
    <row r="28" spans="1:61" x14ac:dyDescent="0.25">
      <c r="A28" t="s">
        <v>343</v>
      </c>
      <c r="B28" t="s">
        <v>344</v>
      </c>
      <c r="C28" t="s">
        <v>345</v>
      </c>
      <c r="D28" t="s">
        <v>346</v>
      </c>
      <c r="E28" t="s">
        <v>347</v>
      </c>
      <c r="F28" t="s">
        <v>50</v>
      </c>
      <c r="G28" t="s">
        <v>404</v>
      </c>
      <c r="H28" t="s">
        <v>405</v>
      </c>
      <c r="I28" t="s">
        <v>415</v>
      </c>
      <c r="J28" t="s">
        <v>72</v>
      </c>
      <c r="K28" t="s">
        <v>416</v>
      </c>
      <c r="L28" t="s">
        <v>417</v>
      </c>
      <c r="AG28" t="s">
        <v>428</v>
      </c>
      <c r="AH28" t="s">
        <v>429</v>
      </c>
      <c r="AI28" t="s">
        <v>353</v>
      </c>
      <c r="AJ28" t="s">
        <v>416</v>
      </c>
      <c r="AK28" s="1">
        <v>-71175.08</v>
      </c>
      <c r="AL28" s="1">
        <v>0</v>
      </c>
      <c r="AM28" s="1">
        <v>-71175.08</v>
      </c>
      <c r="AN28" s="1">
        <v>12934.46</v>
      </c>
      <c r="AO28" s="1">
        <v>0</v>
      </c>
      <c r="AP28" s="1">
        <v>12934.46</v>
      </c>
      <c r="AQ28" s="1">
        <v>47796.97</v>
      </c>
      <c r="AR28" s="1">
        <v>0</v>
      </c>
      <c r="AS28" s="1">
        <v>47796.97</v>
      </c>
      <c r="AT28" s="1">
        <v>0</v>
      </c>
      <c r="BA28" s="195"/>
      <c r="BB28" s="195"/>
      <c r="BC28" s="195"/>
      <c r="BD28" s="195"/>
      <c r="BE28" s="195"/>
      <c r="BF28" s="195"/>
      <c r="BG28" s="195"/>
      <c r="BH28" s="195"/>
      <c r="BI28" s="195"/>
    </row>
    <row r="29" spans="1:61" x14ac:dyDescent="0.25">
      <c r="A29" t="s">
        <v>343</v>
      </c>
      <c r="B29" t="s">
        <v>344</v>
      </c>
      <c r="C29" t="s">
        <v>345</v>
      </c>
      <c r="D29" t="s">
        <v>346</v>
      </c>
      <c r="E29" t="s">
        <v>347</v>
      </c>
      <c r="F29" t="s">
        <v>50</v>
      </c>
      <c r="G29" t="s">
        <v>404</v>
      </c>
      <c r="H29" t="s">
        <v>405</v>
      </c>
      <c r="I29" t="s">
        <v>415</v>
      </c>
      <c r="J29" t="s">
        <v>72</v>
      </c>
      <c r="K29" t="s">
        <v>416</v>
      </c>
      <c r="L29" t="s">
        <v>417</v>
      </c>
      <c r="AG29" t="s">
        <v>430</v>
      </c>
      <c r="AH29" t="s">
        <v>431</v>
      </c>
      <c r="AI29" t="s">
        <v>353</v>
      </c>
      <c r="AJ29" t="s">
        <v>416</v>
      </c>
      <c r="AK29" s="1">
        <v>0</v>
      </c>
      <c r="AL29" s="1">
        <v>206333.74</v>
      </c>
      <c r="AM29" s="1">
        <v>-206333.74</v>
      </c>
      <c r="AN29" s="1">
        <v>0</v>
      </c>
      <c r="AO29" s="1">
        <v>103166.87</v>
      </c>
      <c r="AP29" s="1">
        <v>-103166.87</v>
      </c>
      <c r="AQ29" s="1">
        <v>0</v>
      </c>
      <c r="AR29" s="1">
        <v>103166.87</v>
      </c>
      <c r="AS29" s="1">
        <v>-103166.87</v>
      </c>
      <c r="AT29" s="1">
        <v>0</v>
      </c>
      <c r="BA29" s="195"/>
      <c r="BB29" s="195"/>
      <c r="BC29" s="195"/>
      <c r="BD29" s="195"/>
      <c r="BE29" s="195"/>
      <c r="BF29" s="195"/>
      <c r="BG29" s="195"/>
      <c r="BH29" s="195"/>
      <c r="BI29" s="195"/>
    </row>
    <row r="30" spans="1:61" x14ac:dyDescent="0.25">
      <c r="A30" t="s">
        <v>343</v>
      </c>
      <c r="B30" t="s">
        <v>344</v>
      </c>
      <c r="C30" t="s">
        <v>345</v>
      </c>
      <c r="D30" t="s">
        <v>346</v>
      </c>
      <c r="E30" t="s">
        <v>347</v>
      </c>
      <c r="F30" t="s">
        <v>50</v>
      </c>
      <c r="G30" t="s">
        <v>404</v>
      </c>
      <c r="H30" t="s">
        <v>405</v>
      </c>
      <c r="I30" t="s">
        <v>415</v>
      </c>
      <c r="J30" t="s">
        <v>72</v>
      </c>
      <c r="K30" t="s">
        <v>432</v>
      </c>
      <c r="L30" t="s">
        <v>433</v>
      </c>
      <c r="AG30" t="s">
        <v>434</v>
      </c>
      <c r="AH30" t="s">
        <v>435</v>
      </c>
      <c r="AI30" t="s">
        <v>353</v>
      </c>
      <c r="AJ30" t="s">
        <v>432</v>
      </c>
      <c r="AK30" s="1">
        <v>13356.3</v>
      </c>
      <c r="AL30" s="1">
        <v>0</v>
      </c>
      <c r="AM30" s="1">
        <v>13356.3</v>
      </c>
      <c r="AN30" s="1">
        <v>6678.15</v>
      </c>
      <c r="AO30" s="1">
        <v>0</v>
      </c>
      <c r="AP30" s="1">
        <v>6678.15</v>
      </c>
      <c r="AQ30" s="1">
        <v>6678.15</v>
      </c>
      <c r="AR30" s="1">
        <v>0</v>
      </c>
      <c r="AS30" s="1">
        <v>6678.15</v>
      </c>
      <c r="AT30" s="1">
        <v>0</v>
      </c>
      <c r="BA30" s="195"/>
      <c r="BB30" s="195"/>
      <c r="BC30" s="195"/>
      <c r="BD30" s="195"/>
      <c r="BE30" s="195"/>
      <c r="BF30" s="195"/>
      <c r="BG30" s="195"/>
      <c r="BH30" s="195"/>
      <c r="BI30" s="195"/>
    </row>
    <row r="31" spans="1:61" x14ac:dyDescent="0.25">
      <c r="A31" t="s">
        <v>343</v>
      </c>
      <c r="B31" t="s">
        <v>344</v>
      </c>
      <c r="C31" t="s">
        <v>345</v>
      </c>
      <c r="D31" t="s">
        <v>346</v>
      </c>
      <c r="E31" t="s">
        <v>347</v>
      </c>
      <c r="F31" t="s">
        <v>50</v>
      </c>
      <c r="G31" t="s">
        <v>404</v>
      </c>
      <c r="H31" t="s">
        <v>405</v>
      </c>
      <c r="I31" t="s">
        <v>415</v>
      </c>
      <c r="J31" t="s">
        <v>72</v>
      </c>
      <c r="K31" t="s">
        <v>432</v>
      </c>
      <c r="L31" t="s">
        <v>433</v>
      </c>
      <c r="AG31" t="s">
        <v>436</v>
      </c>
      <c r="AH31" t="s">
        <v>437</v>
      </c>
      <c r="AI31" t="s">
        <v>353</v>
      </c>
      <c r="AJ31" t="s">
        <v>432</v>
      </c>
      <c r="AK31" s="1">
        <v>20956</v>
      </c>
      <c r="AL31" s="1">
        <v>0</v>
      </c>
      <c r="AM31" s="1">
        <v>20956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BA31" s="195"/>
      <c r="BB31" s="195"/>
      <c r="BC31" s="195"/>
      <c r="BD31" s="195"/>
      <c r="BE31" s="195"/>
      <c r="BF31" s="195"/>
      <c r="BG31" s="195"/>
      <c r="BH31" s="195"/>
      <c r="BI31" s="195"/>
    </row>
    <row r="32" spans="1:61" x14ac:dyDescent="0.25">
      <c r="A32" t="s">
        <v>343</v>
      </c>
      <c r="B32" t="s">
        <v>344</v>
      </c>
      <c r="C32" t="s">
        <v>345</v>
      </c>
      <c r="D32" t="s">
        <v>346</v>
      </c>
      <c r="E32" t="s">
        <v>347</v>
      </c>
      <c r="F32" t="s">
        <v>50</v>
      </c>
      <c r="G32" t="s">
        <v>404</v>
      </c>
      <c r="H32" t="s">
        <v>405</v>
      </c>
      <c r="I32" t="s">
        <v>415</v>
      </c>
      <c r="J32" t="s">
        <v>72</v>
      </c>
      <c r="K32" t="s">
        <v>432</v>
      </c>
      <c r="L32" t="s">
        <v>433</v>
      </c>
      <c r="AG32" t="s">
        <v>438</v>
      </c>
      <c r="AH32" t="s">
        <v>439</v>
      </c>
      <c r="AI32" t="s">
        <v>353</v>
      </c>
      <c r="AJ32" t="s">
        <v>432</v>
      </c>
      <c r="AK32" s="1">
        <v>15791.74</v>
      </c>
      <c r="AL32" s="1">
        <v>0</v>
      </c>
      <c r="AM32" s="1">
        <v>15791.74</v>
      </c>
      <c r="AN32" s="1">
        <v>1570</v>
      </c>
      <c r="AO32" s="1">
        <v>0</v>
      </c>
      <c r="AP32" s="1">
        <v>1570</v>
      </c>
      <c r="AQ32" s="1">
        <v>0</v>
      </c>
      <c r="AR32" s="1">
        <v>0</v>
      </c>
      <c r="AS32" s="1">
        <v>0</v>
      </c>
      <c r="AT32" s="1">
        <v>0</v>
      </c>
      <c r="BA32" s="195"/>
      <c r="BB32" s="195"/>
      <c r="BC32" s="195"/>
      <c r="BD32" s="195"/>
      <c r="BE32" s="195"/>
      <c r="BF32" s="195"/>
      <c r="BG32" s="195"/>
      <c r="BH32" s="195"/>
      <c r="BI32" s="195"/>
    </row>
    <row r="33" spans="1:61" x14ac:dyDescent="0.25">
      <c r="A33" t="s">
        <v>343</v>
      </c>
      <c r="B33" t="s">
        <v>344</v>
      </c>
      <c r="C33" t="s">
        <v>345</v>
      </c>
      <c r="D33" t="s">
        <v>346</v>
      </c>
      <c r="E33" t="s">
        <v>347</v>
      </c>
      <c r="F33" t="s">
        <v>50</v>
      </c>
      <c r="G33" t="s">
        <v>404</v>
      </c>
      <c r="H33" t="s">
        <v>405</v>
      </c>
      <c r="I33" t="s">
        <v>415</v>
      </c>
      <c r="J33" t="s">
        <v>72</v>
      </c>
      <c r="K33" t="s">
        <v>432</v>
      </c>
      <c r="L33" t="s">
        <v>433</v>
      </c>
      <c r="AG33" t="s">
        <v>440</v>
      </c>
      <c r="AH33" t="s">
        <v>441</v>
      </c>
      <c r="AI33" t="s">
        <v>353</v>
      </c>
      <c r="AJ33" t="s">
        <v>432</v>
      </c>
      <c r="AK33" s="1">
        <v>49454</v>
      </c>
      <c r="AL33" s="1">
        <v>0</v>
      </c>
      <c r="AM33" s="1">
        <v>49454</v>
      </c>
      <c r="AN33" s="1">
        <v>26490</v>
      </c>
      <c r="AO33" s="1">
        <v>0</v>
      </c>
      <c r="AP33" s="1">
        <v>26490</v>
      </c>
      <c r="AQ33" s="1">
        <v>28253</v>
      </c>
      <c r="AR33" s="1">
        <v>0</v>
      </c>
      <c r="AS33" s="1">
        <v>28253</v>
      </c>
      <c r="AT33" s="1">
        <v>0</v>
      </c>
      <c r="BA33" s="195"/>
      <c r="BB33" s="195"/>
      <c r="BC33" s="195"/>
      <c r="BD33" s="195"/>
      <c r="BE33" s="195"/>
      <c r="BF33" s="195"/>
      <c r="BG33" s="195"/>
      <c r="BH33" s="195"/>
      <c r="BI33" s="195"/>
    </row>
    <row r="34" spans="1:61" x14ac:dyDescent="0.25">
      <c r="A34" t="s">
        <v>343</v>
      </c>
      <c r="B34" t="s">
        <v>344</v>
      </c>
      <c r="C34" t="s">
        <v>345</v>
      </c>
      <c r="D34" t="s">
        <v>346</v>
      </c>
      <c r="E34" t="s">
        <v>347</v>
      </c>
      <c r="F34" t="s">
        <v>50</v>
      </c>
      <c r="G34" t="s">
        <v>404</v>
      </c>
      <c r="H34" t="s">
        <v>405</v>
      </c>
      <c r="I34" t="s">
        <v>415</v>
      </c>
      <c r="J34" t="s">
        <v>72</v>
      </c>
      <c r="K34" t="s">
        <v>432</v>
      </c>
      <c r="L34" t="s">
        <v>433</v>
      </c>
      <c r="AG34" t="s">
        <v>442</v>
      </c>
      <c r="AH34" t="s">
        <v>443</v>
      </c>
      <c r="AI34" t="s">
        <v>353</v>
      </c>
      <c r="AJ34" t="s">
        <v>432</v>
      </c>
      <c r="AK34" s="1">
        <v>32793.199999999997</v>
      </c>
      <c r="AL34" s="1">
        <v>0</v>
      </c>
      <c r="AM34" s="1">
        <v>32793.199999999997</v>
      </c>
      <c r="AN34" s="1">
        <v>7433.6</v>
      </c>
      <c r="AO34" s="1">
        <v>0</v>
      </c>
      <c r="AP34" s="1">
        <v>7433.6</v>
      </c>
      <c r="AQ34" s="1">
        <v>138</v>
      </c>
      <c r="AR34" s="1">
        <v>0</v>
      </c>
      <c r="AS34" s="1">
        <v>138</v>
      </c>
      <c r="AT34" s="1">
        <v>0</v>
      </c>
      <c r="BA34" s="195"/>
      <c r="BB34" s="195"/>
      <c r="BC34" s="195"/>
      <c r="BD34" s="195"/>
      <c r="BE34" s="195"/>
      <c r="BF34" s="195"/>
      <c r="BG34" s="195"/>
      <c r="BH34" s="195"/>
      <c r="BI34" s="195"/>
    </row>
    <row r="35" spans="1:61" x14ac:dyDescent="0.25">
      <c r="A35" t="s">
        <v>343</v>
      </c>
      <c r="B35" t="s">
        <v>344</v>
      </c>
      <c r="C35" t="s">
        <v>345</v>
      </c>
      <c r="D35" t="s">
        <v>346</v>
      </c>
      <c r="E35" t="s">
        <v>347</v>
      </c>
      <c r="F35" t="s">
        <v>50</v>
      </c>
      <c r="G35" t="s">
        <v>404</v>
      </c>
      <c r="H35" t="s">
        <v>405</v>
      </c>
      <c r="I35" t="s">
        <v>415</v>
      </c>
      <c r="J35" t="s">
        <v>72</v>
      </c>
      <c r="K35" t="s">
        <v>432</v>
      </c>
      <c r="L35" t="s">
        <v>433</v>
      </c>
      <c r="AG35" t="s">
        <v>444</v>
      </c>
      <c r="AH35" t="s">
        <v>445</v>
      </c>
      <c r="AI35" t="s">
        <v>353</v>
      </c>
      <c r="AJ35" t="s">
        <v>432</v>
      </c>
      <c r="AK35" s="1">
        <v>83449.86</v>
      </c>
      <c r="AL35" s="1">
        <v>0</v>
      </c>
      <c r="AM35" s="1">
        <v>83449.86</v>
      </c>
      <c r="AN35" s="1">
        <v>43378.43</v>
      </c>
      <c r="AO35" s="1">
        <v>0</v>
      </c>
      <c r="AP35" s="1">
        <v>43378.43</v>
      </c>
      <c r="AQ35" s="1">
        <v>45031.93</v>
      </c>
      <c r="AR35" s="1">
        <v>0</v>
      </c>
      <c r="AS35" s="1">
        <v>45031.93</v>
      </c>
      <c r="AT35" s="1">
        <v>0</v>
      </c>
      <c r="BA35" s="195"/>
      <c r="BB35" s="195"/>
      <c r="BC35" s="195"/>
      <c r="BD35" s="195"/>
      <c r="BE35" s="195"/>
      <c r="BF35" s="195"/>
      <c r="BG35" s="195"/>
      <c r="BH35" s="195"/>
      <c r="BI35" s="195"/>
    </row>
    <row r="36" spans="1:61" x14ac:dyDescent="0.25">
      <c r="A36" t="s">
        <v>343</v>
      </c>
      <c r="B36" t="s">
        <v>344</v>
      </c>
      <c r="C36" t="s">
        <v>345</v>
      </c>
      <c r="D36" t="s">
        <v>346</v>
      </c>
      <c r="E36" t="s">
        <v>347</v>
      </c>
      <c r="F36" t="s">
        <v>50</v>
      </c>
      <c r="G36" t="s">
        <v>404</v>
      </c>
      <c r="H36" t="s">
        <v>405</v>
      </c>
      <c r="I36" t="s">
        <v>415</v>
      </c>
      <c r="J36" t="s">
        <v>72</v>
      </c>
      <c r="K36" t="s">
        <v>432</v>
      </c>
      <c r="L36" t="s">
        <v>433</v>
      </c>
      <c r="AG36" t="s">
        <v>446</v>
      </c>
      <c r="AH36" t="s">
        <v>447</v>
      </c>
      <c r="AI36" t="s">
        <v>353</v>
      </c>
      <c r="AJ36" t="s">
        <v>432</v>
      </c>
      <c r="AK36" s="1">
        <v>95636.22</v>
      </c>
      <c r="AL36" s="1">
        <v>0</v>
      </c>
      <c r="AM36" s="1">
        <v>95636.22</v>
      </c>
      <c r="AN36" s="1">
        <v>39818.11</v>
      </c>
      <c r="AO36" s="1">
        <v>0</v>
      </c>
      <c r="AP36" s="1">
        <v>39818.11</v>
      </c>
      <c r="AQ36" s="1">
        <v>34246.89</v>
      </c>
      <c r="AR36" s="1">
        <v>0</v>
      </c>
      <c r="AS36" s="1">
        <v>34246.89</v>
      </c>
      <c r="AT36" s="1">
        <v>0</v>
      </c>
      <c r="BA36" s="195"/>
      <c r="BB36" s="195"/>
      <c r="BC36" s="195"/>
      <c r="BD36" s="195"/>
      <c r="BE36" s="195"/>
      <c r="BF36" s="195"/>
      <c r="BG36" s="195"/>
      <c r="BH36" s="195"/>
      <c r="BI36" s="195"/>
    </row>
    <row r="37" spans="1:61" x14ac:dyDescent="0.25">
      <c r="A37" t="s">
        <v>343</v>
      </c>
      <c r="B37" t="s">
        <v>344</v>
      </c>
      <c r="C37" t="s">
        <v>345</v>
      </c>
      <c r="D37" t="s">
        <v>346</v>
      </c>
      <c r="E37" t="s">
        <v>347</v>
      </c>
      <c r="F37" t="s">
        <v>50</v>
      </c>
      <c r="G37" t="s">
        <v>404</v>
      </c>
      <c r="H37" t="s">
        <v>405</v>
      </c>
      <c r="I37" t="s">
        <v>415</v>
      </c>
      <c r="J37" t="s">
        <v>72</v>
      </c>
      <c r="K37" t="s">
        <v>432</v>
      </c>
      <c r="L37" t="s">
        <v>433</v>
      </c>
      <c r="AG37" t="s">
        <v>448</v>
      </c>
      <c r="AH37" t="s">
        <v>449</v>
      </c>
      <c r="AI37" t="s">
        <v>353</v>
      </c>
      <c r="AJ37" t="s">
        <v>432</v>
      </c>
      <c r="AK37" s="1">
        <v>7731.04</v>
      </c>
      <c r="AL37" s="1">
        <v>0</v>
      </c>
      <c r="AM37" s="1">
        <v>7731.04</v>
      </c>
      <c r="AN37" s="1">
        <v>1210.5899999999999</v>
      </c>
      <c r="AO37" s="1">
        <v>0</v>
      </c>
      <c r="AP37" s="1">
        <v>1210.5899999999999</v>
      </c>
      <c r="AQ37" s="1">
        <v>0</v>
      </c>
      <c r="AR37" s="1">
        <v>0</v>
      </c>
      <c r="AS37" s="1">
        <v>0</v>
      </c>
      <c r="AT37" s="1">
        <v>0</v>
      </c>
      <c r="BA37" s="195"/>
      <c r="BB37" s="195"/>
      <c r="BC37" s="195"/>
      <c r="BD37" s="195"/>
      <c r="BE37" s="195"/>
      <c r="BF37" s="195"/>
      <c r="BG37" s="195"/>
      <c r="BH37" s="195"/>
      <c r="BI37" s="195"/>
    </row>
    <row r="38" spans="1:61" x14ac:dyDescent="0.25">
      <c r="A38" t="s">
        <v>343</v>
      </c>
      <c r="B38" t="s">
        <v>344</v>
      </c>
      <c r="C38" t="s">
        <v>345</v>
      </c>
      <c r="D38" t="s">
        <v>346</v>
      </c>
      <c r="E38" t="s">
        <v>347</v>
      </c>
      <c r="F38" t="s">
        <v>50</v>
      </c>
      <c r="G38" t="s">
        <v>404</v>
      </c>
      <c r="H38" t="s">
        <v>405</v>
      </c>
      <c r="I38" t="s">
        <v>415</v>
      </c>
      <c r="J38" t="s">
        <v>72</v>
      </c>
      <c r="K38" t="s">
        <v>432</v>
      </c>
      <c r="L38" t="s">
        <v>433</v>
      </c>
      <c r="AG38" t="s">
        <v>450</v>
      </c>
      <c r="AH38" t="s">
        <v>451</v>
      </c>
      <c r="AI38" t="s">
        <v>353</v>
      </c>
      <c r="AJ38" t="s">
        <v>432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145950</v>
      </c>
      <c r="AR38" s="1">
        <v>0</v>
      </c>
      <c r="AS38" s="1">
        <v>145950</v>
      </c>
      <c r="AT38" s="1">
        <v>0</v>
      </c>
      <c r="BA38" s="195"/>
      <c r="BB38" s="195"/>
      <c r="BC38" s="195"/>
      <c r="BD38" s="195"/>
      <c r="BE38" s="195"/>
      <c r="BF38" s="195"/>
      <c r="BG38" s="195"/>
      <c r="BH38" s="195"/>
      <c r="BI38" s="195"/>
    </row>
    <row r="39" spans="1:61" x14ac:dyDescent="0.25">
      <c r="A39" t="s">
        <v>343</v>
      </c>
      <c r="B39" t="s">
        <v>344</v>
      </c>
      <c r="C39" t="s">
        <v>345</v>
      </c>
      <c r="D39" t="s">
        <v>346</v>
      </c>
      <c r="E39" t="s">
        <v>347</v>
      </c>
      <c r="F39" t="s">
        <v>50</v>
      </c>
      <c r="G39" t="s">
        <v>404</v>
      </c>
      <c r="H39" t="s">
        <v>405</v>
      </c>
      <c r="I39" t="s">
        <v>415</v>
      </c>
      <c r="J39" t="s">
        <v>72</v>
      </c>
      <c r="K39" t="s">
        <v>432</v>
      </c>
      <c r="L39" t="s">
        <v>433</v>
      </c>
      <c r="AG39" t="s">
        <v>452</v>
      </c>
      <c r="AH39" t="s">
        <v>453</v>
      </c>
      <c r="AI39" t="s">
        <v>353</v>
      </c>
      <c r="AJ39" t="s">
        <v>432</v>
      </c>
      <c r="AK39" s="1">
        <v>-1.68</v>
      </c>
      <c r="AL39" s="1">
        <v>0</v>
      </c>
      <c r="AM39" s="1">
        <v>-1.68</v>
      </c>
      <c r="AN39" s="1">
        <v>0</v>
      </c>
      <c r="AO39" s="1">
        <v>0</v>
      </c>
      <c r="AP39" s="1">
        <v>0</v>
      </c>
      <c r="AQ39" s="1">
        <v>0.84</v>
      </c>
      <c r="AR39" s="1">
        <v>0</v>
      </c>
      <c r="AS39" s="1">
        <v>0.84</v>
      </c>
      <c r="AT39" s="1">
        <v>0</v>
      </c>
      <c r="BA39" s="195"/>
      <c r="BB39" s="195"/>
      <c r="BC39" s="195"/>
      <c r="BD39" s="195"/>
      <c r="BE39" s="195"/>
      <c r="BF39" s="195"/>
      <c r="BG39" s="195"/>
      <c r="BH39" s="195"/>
      <c r="BI39" s="195"/>
    </row>
    <row r="40" spans="1:61" x14ac:dyDescent="0.25">
      <c r="A40" t="s">
        <v>343</v>
      </c>
      <c r="B40" t="s">
        <v>344</v>
      </c>
      <c r="C40" t="s">
        <v>345</v>
      </c>
      <c r="D40" t="s">
        <v>346</v>
      </c>
      <c r="E40" t="s">
        <v>347</v>
      </c>
      <c r="F40" t="s">
        <v>50</v>
      </c>
      <c r="G40" t="s">
        <v>404</v>
      </c>
      <c r="H40" t="s">
        <v>405</v>
      </c>
      <c r="I40" t="s">
        <v>415</v>
      </c>
      <c r="J40" t="s">
        <v>72</v>
      </c>
      <c r="K40" t="s">
        <v>432</v>
      </c>
      <c r="L40" t="s">
        <v>433</v>
      </c>
      <c r="AG40" t="s">
        <v>454</v>
      </c>
      <c r="AH40" t="s">
        <v>455</v>
      </c>
      <c r="AI40" t="s">
        <v>353</v>
      </c>
      <c r="AJ40" t="s">
        <v>432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22822.75</v>
      </c>
      <c r="AR40" s="1">
        <v>0</v>
      </c>
      <c r="AS40" s="1">
        <v>22822.75</v>
      </c>
      <c r="AT40" s="1">
        <v>0</v>
      </c>
      <c r="BA40" s="195"/>
      <c r="BB40" s="195"/>
      <c r="BC40" s="195"/>
      <c r="BD40" s="195"/>
      <c r="BE40" s="195"/>
      <c r="BF40" s="195"/>
      <c r="BG40" s="195"/>
      <c r="BH40" s="195"/>
      <c r="BI40" s="195"/>
    </row>
    <row r="41" spans="1:61" x14ac:dyDescent="0.25">
      <c r="A41" t="s">
        <v>343</v>
      </c>
      <c r="B41" t="s">
        <v>344</v>
      </c>
      <c r="C41" t="s">
        <v>345</v>
      </c>
      <c r="D41" t="s">
        <v>346</v>
      </c>
      <c r="E41" t="s">
        <v>347</v>
      </c>
      <c r="F41" t="s">
        <v>50</v>
      </c>
      <c r="G41" t="s">
        <v>404</v>
      </c>
      <c r="H41" t="s">
        <v>405</v>
      </c>
      <c r="I41" t="s">
        <v>415</v>
      </c>
      <c r="J41" t="s">
        <v>72</v>
      </c>
      <c r="K41" t="s">
        <v>432</v>
      </c>
      <c r="L41" t="s">
        <v>433</v>
      </c>
      <c r="AG41" t="s">
        <v>456</v>
      </c>
      <c r="AH41" t="s">
        <v>457</v>
      </c>
      <c r="AI41" t="s">
        <v>353</v>
      </c>
      <c r="AJ41" t="s">
        <v>432</v>
      </c>
      <c r="AK41" s="1">
        <v>0</v>
      </c>
      <c r="AL41" s="1">
        <v>-45648.24</v>
      </c>
      <c r="AM41" s="1">
        <v>45648.24</v>
      </c>
      <c r="AN41" s="1">
        <v>0</v>
      </c>
      <c r="AO41" s="1">
        <v>0</v>
      </c>
      <c r="AP41" s="1">
        <v>0</v>
      </c>
      <c r="AQ41" s="1">
        <v>0</v>
      </c>
      <c r="AR41" s="1">
        <v>22824.12</v>
      </c>
      <c r="AS41" s="1">
        <v>-22824.12</v>
      </c>
      <c r="AT41" s="1">
        <v>0</v>
      </c>
      <c r="BA41" s="195"/>
      <c r="BB41" s="195"/>
      <c r="BC41" s="195"/>
      <c r="BD41" s="195"/>
      <c r="BE41" s="195"/>
      <c r="BF41" s="195"/>
      <c r="BG41" s="195"/>
      <c r="BH41" s="195"/>
      <c r="BI41" s="195"/>
    </row>
    <row r="42" spans="1:61" x14ac:dyDescent="0.25">
      <c r="A42" t="s">
        <v>343</v>
      </c>
      <c r="B42" t="s">
        <v>344</v>
      </c>
      <c r="C42" t="s">
        <v>345</v>
      </c>
      <c r="D42" t="s">
        <v>346</v>
      </c>
      <c r="E42" t="s">
        <v>347</v>
      </c>
      <c r="F42" t="s">
        <v>50</v>
      </c>
      <c r="G42" t="s">
        <v>404</v>
      </c>
      <c r="H42" t="s">
        <v>405</v>
      </c>
      <c r="I42" t="s">
        <v>458</v>
      </c>
      <c r="J42" t="s">
        <v>73</v>
      </c>
      <c r="K42" t="s">
        <v>459</v>
      </c>
      <c r="L42" t="s">
        <v>460</v>
      </c>
      <c r="AG42" t="s">
        <v>461</v>
      </c>
      <c r="AH42" t="s">
        <v>462</v>
      </c>
      <c r="AI42" t="s">
        <v>353</v>
      </c>
      <c r="AJ42" t="s">
        <v>459</v>
      </c>
      <c r="AK42" s="1">
        <v>6812341.5199999996</v>
      </c>
      <c r="AL42" s="1">
        <v>0</v>
      </c>
      <c r="AM42" s="1">
        <v>6812341.5199999996</v>
      </c>
      <c r="AN42" s="1">
        <v>2702689.23</v>
      </c>
      <c r="AO42" s="1">
        <v>0</v>
      </c>
      <c r="AP42" s="1">
        <v>2702689.23</v>
      </c>
      <c r="AQ42" s="1">
        <v>1999207.7</v>
      </c>
      <c r="AR42" s="1">
        <v>0</v>
      </c>
      <c r="AS42" s="1">
        <v>1999207.7</v>
      </c>
      <c r="AT42" s="1">
        <v>0</v>
      </c>
      <c r="BA42" s="195"/>
      <c r="BB42" s="195"/>
      <c r="BC42" s="195"/>
      <c r="BD42" s="195"/>
      <c r="BE42" s="195"/>
      <c r="BF42" s="195"/>
      <c r="BG42" s="195"/>
      <c r="BH42" s="195"/>
      <c r="BI42" s="195"/>
    </row>
    <row r="43" spans="1:61" x14ac:dyDescent="0.25">
      <c r="A43" t="s">
        <v>343</v>
      </c>
      <c r="B43" t="s">
        <v>344</v>
      </c>
      <c r="C43" t="s">
        <v>345</v>
      </c>
      <c r="D43" t="s">
        <v>346</v>
      </c>
      <c r="E43" t="s">
        <v>347</v>
      </c>
      <c r="F43" t="s">
        <v>50</v>
      </c>
      <c r="G43" t="s">
        <v>404</v>
      </c>
      <c r="H43" t="s">
        <v>405</v>
      </c>
      <c r="I43" t="s">
        <v>458</v>
      </c>
      <c r="J43" t="s">
        <v>73</v>
      </c>
      <c r="K43" t="s">
        <v>463</v>
      </c>
      <c r="L43" t="s">
        <v>464</v>
      </c>
      <c r="AG43" t="s">
        <v>465</v>
      </c>
      <c r="AH43" t="s">
        <v>466</v>
      </c>
      <c r="AI43" t="s">
        <v>353</v>
      </c>
      <c r="AJ43" t="s">
        <v>463</v>
      </c>
      <c r="AK43" s="1">
        <v>225199.88</v>
      </c>
      <c r="AL43" s="1">
        <v>0</v>
      </c>
      <c r="AM43" s="1">
        <v>225199.88</v>
      </c>
      <c r="AN43" s="1">
        <v>53639.94</v>
      </c>
      <c r="AO43" s="1">
        <v>0</v>
      </c>
      <c r="AP43" s="1">
        <v>53639.94</v>
      </c>
      <c r="AQ43" s="1">
        <v>33355.089999999997</v>
      </c>
      <c r="AR43" s="1">
        <v>0</v>
      </c>
      <c r="AS43" s="1">
        <v>33355.089999999997</v>
      </c>
      <c r="AT43" s="1">
        <v>0</v>
      </c>
      <c r="BA43" s="195"/>
      <c r="BB43" s="195"/>
      <c r="BC43" s="195"/>
      <c r="BD43" s="195"/>
      <c r="BE43" s="195"/>
      <c r="BF43" s="195"/>
      <c r="BG43" s="195"/>
      <c r="BH43" s="195"/>
      <c r="BI43" s="195"/>
    </row>
    <row r="44" spans="1:61" x14ac:dyDescent="0.25">
      <c r="A44" t="s">
        <v>343</v>
      </c>
      <c r="B44" t="s">
        <v>344</v>
      </c>
      <c r="C44" t="s">
        <v>345</v>
      </c>
      <c r="D44" t="s">
        <v>346</v>
      </c>
      <c r="E44" t="s">
        <v>347</v>
      </c>
      <c r="F44" t="s">
        <v>50</v>
      </c>
      <c r="G44" t="s">
        <v>404</v>
      </c>
      <c r="H44" t="s">
        <v>405</v>
      </c>
      <c r="I44" t="s">
        <v>458</v>
      </c>
      <c r="J44" t="s">
        <v>73</v>
      </c>
      <c r="K44" t="s">
        <v>463</v>
      </c>
      <c r="L44" t="s">
        <v>464</v>
      </c>
      <c r="AG44" t="s">
        <v>467</v>
      </c>
      <c r="AH44" t="s">
        <v>468</v>
      </c>
      <c r="AI44" t="s">
        <v>353</v>
      </c>
      <c r="AJ44" t="s">
        <v>463</v>
      </c>
      <c r="AK44" s="1">
        <v>1938975.12</v>
      </c>
      <c r="AL44" s="1">
        <v>0</v>
      </c>
      <c r="AM44" s="1">
        <v>1938975.12</v>
      </c>
      <c r="AN44" s="1">
        <v>160.1</v>
      </c>
      <c r="AO44" s="1">
        <v>0</v>
      </c>
      <c r="AP44" s="1">
        <v>160.1</v>
      </c>
      <c r="AQ44" s="1">
        <v>160.1</v>
      </c>
      <c r="AR44" s="1">
        <v>0</v>
      </c>
      <c r="AS44" s="1">
        <v>160.1</v>
      </c>
      <c r="AT44" s="1">
        <v>0</v>
      </c>
      <c r="BA44" s="195"/>
      <c r="BB44" s="195"/>
      <c r="BC44" s="195"/>
      <c r="BD44" s="195"/>
      <c r="BE44" s="195"/>
      <c r="BF44" s="195"/>
      <c r="BG44" s="195"/>
      <c r="BH44" s="195"/>
      <c r="BI44" s="195"/>
    </row>
    <row r="45" spans="1:61" x14ac:dyDescent="0.25">
      <c r="A45" t="s">
        <v>343</v>
      </c>
      <c r="B45" t="s">
        <v>344</v>
      </c>
      <c r="C45" t="s">
        <v>345</v>
      </c>
      <c r="D45" t="s">
        <v>346</v>
      </c>
      <c r="E45" t="s">
        <v>347</v>
      </c>
      <c r="F45" t="s">
        <v>50</v>
      </c>
      <c r="G45" t="s">
        <v>404</v>
      </c>
      <c r="H45" t="s">
        <v>405</v>
      </c>
      <c r="I45" t="s">
        <v>458</v>
      </c>
      <c r="J45" t="s">
        <v>73</v>
      </c>
      <c r="K45" t="s">
        <v>463</v>
      </c>
      <c r="L45" t="s">
        <v>464</v>
      </c>
      <c r="AG45" t="s">
        <v>469</v>
      </c>
      <c r="AH45" t="s">
        <v>470</v>
      </c>
      <c r="AI45" t="s">
        <v>353</v>
      </c>
      <c r="AJ45" t="s">
        <v>463</v>
      </c>
      <c r="AK45" s="1">
        <v>484733.96</v>
      </c>
      <c r="AL45" s="1">
        <v>0</v>
      </c>
      <c r="AM45" s="1">
        <v>484733.96</v>
      </c>
      <c r="AN45" s="1">
        <v>290028.57</v>
      </c>
      <c r="AO45" s="1">
        <v>0</v>
      </c>
      <c r="AP45" s="1">
        <v>290028.57</v>
      </c>
      <c r="AQ45" s="1">
        <v>337690.16</v>
      </c>
      <c r="AR45" s="1">
        <v>0</v>
      </c>
      <c r="AS45" s="1">
        <v>337690.16</v>
      </c>
      <c r="AT45" s="1">
        <v>0</v>
      </c>
      <c r="BA45" s="195"/>
      <c r="BB45" s="195"/>
      <c r="BC45" s="195"/>
      <c r="BD45" s="195"/>
      <c r="BE45" s="195"/>
      <c r="BF45" s="195"/>
      <c r="BG45" s="195"/>
      <c r="BH45" s="195"/>
      <c r="BI45" s="195"/>
    </row>
    <row r="46" spans="1:61" x14ac:dyDescent="0.25">
      <c r="A46" t="s">
        <v>343</v>
      </c>
      <c r="B46" t="s">
        <v>344</v>
      </c>
      <c r="C46" t="s">
        <v>345</v>
      </c>
      <c r="D46" t="s">
        <v>346</v>
      </c>
      <c r="E46" t="s">
        <v>347</v>
      </c>
      <c r="F46" t="s">
        <v>50</v>
      </c>
      <c r="G46" t="s">
        <v>404</v>
      </c>
      <c r="H46" t="s">
        <v>405</v>
      </c>
      <c r="I46" t="s">
        <v>458</v>
      </c>
      <c r="J46" t="s">
        <v>73</v>
      </c>
      <c r="K46" t="s">
        <v>463</v>
      </c>
      <c r="L46" t="s">
        <v>464</v>
      </c>
      <c r="AG46" t="s">
        <v>471</v>
      </c>
      <c r="AH46" t="s">
        <v>472</v>
      </c>
      <c r="AI46" t="s">
        <v>353</v>
      </c>
      <c r="AJ46" t="s">
        <v>463</v>
      </c>
      <c r="AK46" s="1">
        <v>0</v>
      </c>
      <c r="AL46" s="1">
        <v>0</v>
      </c>
      <c r="AM46" s="1">
        <v>0</v>
      </c>
      <c r="AN46" s="1">
        <v>2619.91</v>
      </c>
      <c r="AO46" s="1">
        <v>0</v>
      </c>
      <c r="AP46" s="1">
        <v>2619.91</v>
      </c>
      <c r="AQ46" s="1">
        <v>103774.64</v>
      </c>
      <c r="AR46" s="1">
        <v>0</v>
      </c>
      <c r="AS46" s="1">
        <v>103774.64</v>
      </c>
      <c r="AT46" s="1">
        <v>0</v>
      </c>
      <c r="BA46" s="195"/>
      <c r="BB46" s="195"/>
      <c r="BC46" s="195"/>
      <c r="BD46" s="195"/>
      <c r="BE46" s="195"/>
      <c r="BF46" s="195"/>
      <c r="BG46" s="195"/>
      <c r="BH46" s="195"/>
      <c r="BI46" s="195"/>
    </row>
    <row r="47" spans="1:61" x14ac:dyDescent="0.25">
      <c r="A47" t="s">
        <v>343</v>
      </c>
      <c r="B47" t="s">
        <v>344</v>
      </c>
      <c r="C47" t="s">
        <v>345</v>
      </c>
      <c r="D47" t="s">
        <v>346</v>
      </c>
      <c r="E47" t="s">
        <v>347</v>
      </c>
      <c r="F47" t="s">
        <v>50</v>
      </c>
      <c r="G47" t="s">
        <v>404</v>
      </c>
      <c r="H47" t="s">
        <v>405</v>
      </c>
      <c r="I47" t="s">
        <v>458</v>
      </c>
      <c r="J47" t="s">
        <v>73</v>
      </c>
      <c r="K47" t="s">
        <v>463</v>
      </c>
      <c r="L47" t="s">
        <v>464</v>
      </c>
      <c r="AG47" t="s">
        <v>473</v>
      </c>
      <c r="AH47" t="s">
        <v>474</v>
      </c>
      <c r="AI47" t="s">
        <v>353</v>
      </c>
      <c r="AJ47" t="s">
        <v>463</v>
      </c>
      <c r="AK47" s="1">
        <v>329.7</v>
      </c>
      <c r="AL47" s="1">
        <v>0</v>
      </c>
      <c r="AM47" s="1">
        <v>329.7</v>
      </c>
      <c r="AN47" s="1">
        <v>74.88</v>
      </c>
      <c r="AO47" s="1">
        <v>0</v>
      </c>
      <c r="AP47" s="1">
        <v>74.88</v>
      </c>
      <c r="AQ47" s="1">
        <v>0</v>
      </c>
      <c r="AR47" s="1">
        <v>0</v>
      </c>
      <c r="AS47" s="1">
        <v>0</v>
      </c>
      <c r="AT47" s="1">
        <v>0</v>
      </c>
      <c r="BA47" s="195"/>
      <c r="BB47" s="195"/>
      <c r="BC47" s="195"/>
      <c r="BD47" s="195"/>
      <c r="BE47" s="195"/>
      <c r="BF47" s="195"/>
      <c r="BG47" s="195"/>
      <c r="BH47" s="195"/>
      <c r="BI47" s="195"/>
    </row>
    <row r="48" spans="1:61" x14ac:dyDescent="0.25">
      <c r="A48" t="s">
        <v>343</v>
      </c>
      <c r="B48" t="s">
        <v>344</v>
      </c>
      <c r="C48" t="s">
        <v>345</v>
      </c>
      <c r="D48" t="s">
        <v>346</v>
      </c>
      <c r="E48" t="s">
        <v>347</v>
      </c>
      <c r="F48" t="s">
        <v>50</v>
      </c>
      <c r="G48" t="s">
        <v>404</v>
      </c>
      <c r="H48" t="s">
        <v>405</v>
      </c>
      <c r="I48" t="s">
        <v>458</v>
      </c>
      <c r="J48" t="s">
        <v>73</v>
      </c>
      <c r="K48" t="s">
        <v>463</v>
      </c>
      <c r="L48" t="s">
        <v>464</v>
      </c>
      <c r="AG48" t="s">
        <v>475</v>
      </c>
      <c r="AH48" t="s">
        <v>476</v>
      </c>
      <c r="AI48" t="s">
        <v>353</v>
      </c>
      <c r="AJ48" t="s">
        <v>463</v>
      </c>
      <c r="AK48" s="1">
        <v>22392.880000000001</v>
      </c>
      <c r="AL48" s="1">
        <v>0</v>
      </c>
      <c r="AM48" s="1">
        <v>22392.880000000001</v>
      </c>
      <c r="AN48" s="1">
        <v>2197.44</v>
      </c>
      <c r="AO48" s="1">
        <v>0</v>
      </c>
      <c r="AP48" s="1">
        <v>2197.44</v>
      </c>
      <c r="AQ48" s="1">
        <v>1905.34</v>
      </c>
      <c r="AR48" s="1">
        <v>0</v>
      </c>
      <c r="AS48" s="1">
        <v>1905.34</v>
      </c>
      <c r="AT48" s="1">
        <v>0</v>
      </c>
      <c r="BA48" s="195"/>
      <c r="BB48" s="195"/>
      <c r="BC48" s="195"/>
      <c r="BD48" s="195"/>
      <c r="BE48" s="195"/>
      <c r="BF48" s="195"/>
      <c r="BG48" s="195"/>
      <c r="BH48" s="195"/>
      <c r="BI48" s="195"/>
    </row>
    <row r="49" spans="1:61" x14ac:dyDescent="0.25">
      <c r="A49" t="s">
        <v>343</v>
      </c>
      <c r="B49" t="s">
        <v>344</v>
      </c>
      <c r="C49" t="s">
        <v>345</v>
      </c>
      <c r="D49" t="s">
        <v>346</v>
      </c>
      <c r="E49" t="s">
        <v>347</v>
      </c>
      <c r="F49" t="s">
        <v>50</v>
      </c>
      <c r="G49" t="s">
        <v>404</v>
      </c>
      <c r="H49" t="s">
        <v>405</v>
      </c>
      <c r="I49" t="s">
        <v>458</v>
      </c>
      <c r="J49" t="s">
        <v>73</v>
      </c>
      <c r="K49" t="s">
        <v>463</v>
      </c>
      <c r="L49" t="s">
        <v>464</v>
      </c>
      <c r="AG49" t="s">
        <v>477</v>
      </c>
      <c r="AH49" t="s">
        <v>478</v>
      </c>
      <c r="AI49" t="s">
        <v>353</v>
      </c>
      <c r="AJ49" t="s">
        <v>463</v>
      </c>
      <c r="AK49" s="1">
        <v>191.48</v>
      </c>
      <c r="AL49" s="1">
        <v>0</v>
      </c>
      <c r="AM49" s="1">
        <v>191.48</v>
      </c>
      <c r="AN49" s="1">
        <v>71.16</v>
      </c>
      <c r="AO49" s="1">
        <v>0</v>
      </c>
      <c r="AP49" s="1">
        <v>71.16</v>
      </c>
      <c r="AQ49" s="1">
        <v>46.58</v>
      </c>
      <c r="AR49" s="1">
        <v>0</v>
      </c>
      <c r="AS49" s="1">
        <v>46.58</v>
      </c>
      <c r="AT49" s="1">
        <v>0</v>
      </c>
      <c r="BA49" s="195"/>
      <c r="BB49" s="195"/>
      <c r="BC49" s="195"/>
      <c r="BD49" s="195"/>
      <c r="BE49" s="195"/>
      <c r="BF49" s="195"/>
      <c r="BG49" s="195"/>
      <c r="BH49" s="195"/>
      <c r="BI49" s="195"/>
    </row>
    <row r="50" spans="1:61" x14ac:dyDescent="0.25">
      <c r="A50" t="s">
        <v>343</v>
      </c>
      <c r="B50" t="s">
        <v>344</v>
      </c>
      <c r="C50" t="s">
        <v>345</v>
      </c>
      <c r="D50" t="s">
        <v>346</v>
      </c>
      <c r="E50" t="s">
        <v>347</v>
      </c>
      <c r="F50" t="s">
        <v>50</v>
      </c>
      <c r="G50" t="s">
        <v>404</v>
      </c>
      <c r="H50" t="s">
        <v>405</v>
      </c>
      <c r="I50" t="s">
        <v>479</v>
      </c>
      <c r="J50" t="s">
        <v>480</v>
      </c>
      <c r="AG50" t="s">
        <v>481</v>
      </c>
      <c r="AH50" t="s">
        <v>482</v>
      </c>
      <c r="AI50" t="s">
        <v>353</v>
      </c>
      <c r="AJ50" t="s">
        <v>479</v>
      </c>
      <c r="AK50" s="1">
        <v>385304.92</v>
      </c>
      <c r="AL50" s="1">
        <v>0</v>
      </c>
      <c r="AM50" s="1">
        <v>385304.92</v>
      </c>
      <c r="AN50" s="1">
        <v>137453.25</v>
      </c>
      <c r="AO50" s="1">
        <v>0</v>
      </c>
      <c r="AP50" s="1">
        <v>137453.25</v>
      </c>
      <c r="AQ50" s="1">
        <v>82254.039999999994</v>
      </c>
      <c r="AR50" s="1">
        <v>0</v>
      </c>
      <c r="AS50" s="1">
        <v>82254.039999999994</v>
      </c>
      <c r="AT50" s="1">
        <v>0</v>
      </c>
      <c r="BA50" s="195"/>
      <c r="BB50" s="195"/>
      <c r="BC50" s="195"/>
      <c r="BD50" s="195"/>
      <c r="BE50" s="195"/>
      <c r="BF50" s="195"/>
      <c r="BG50" s="195"/>
      <c r="BH50" s="195"/>
      <c r="BI50" s="195"/>
    </row>
    <row r="51" spans="1:61" x14ac:dyDescent="0.25">
      <c r="A51" t="s">
        <v>343</v>
      </c>
      <c r="B51" t="s">
        <v>344</v>
      </c>
      <c r="C51" t="s">
        <v>345</v>
      </c>
      <c r="D51" t="s">
        <v>346</v>
      </c>
      <c r="E51" t="s">
        <v>347</v>
      </c>
      <c r="F51" t="s">
        <v>50</v>
      </c>
      <c r="G51" t="s">
        <v>483</v>
      </c>
      <c r="H51" t="s">
        <v>484</v>
      </c>
      <c r="AG51" t="s">
        <v>485</v>
      </c>
      <c r="AH51" t="s">
        <v>486</v>
      </c>
      <c r="AI51" t="s">
        <v>353</v>
      </c>
      <c r="AJ51" t="s">
        <v>483</v>
      </c>
      <c r="AK51" s="1">
        <v>6436.8</v>
      </c>
      <c r="AL51" s="1">
        <v>0</v>
      </c>
      <c r="AM51" s="1">
        <v>6436.8</v>
      </c>
      <c r="AN51" s="1">
        <v>1752.6</v>
      </c>
      <c r="AO51" s="1">
        <v>0</v>
      </c>
      <c r="AP51" s="1">
        <v>1752.6</v>
      </c>
      <c r="AQ51" s="1">
        <v>286.8</v>
      </c>
      <c r="AR51" s="1">
        <v>0</v>
      </c>
      <c r="AS51" s="1">
        <v>286.8</v>
      </c>
      <c r="AT51" s="1">
        <v>0</v>
      </c>
      <c r="BA51" s="195"/>
      <c r="BB51" s="195"/>
      <c r="BC51" s="195"/>
      <c r="BD51" s="195"/>
      <c r="BE51" s="195"/>
      <c r="BF51" s="195"/>
      <c r="BG51" s="195"/>
      <c r="BH51" s="195"/>
      <c r="BI51" s="195"/>
    </row>
    <row r="52" spans="1:61" x14ac:dyDescent="0.25">
      <c r="A52" t="s">
        <v>343</v>
      </c>
      <c r="B52" t="s">
        <v>344</v>
      </c>
      <c r="C52" t="s">
        <v>345</v>
      </c>
      <c r="D52" t="s">
        <v>346</v>
      </c>
      <c r="E52" t="s">
        <v>487</v>
      </c>
      <c r="F52" t="s">
        <v>75</v>
      </c>
      <c r="G52" t="s">
        <v>488</v>
      </c>
      <c r="H52" t="s">
        <v>489</v>
      </c>
      <c r="I52" t="s">
        <v>490</v>
      </c>
      <c r="J52" t="s">
        <v>76</v>
      </c>
      <c r="AG52" t="s">
        <v>491</v>
      </c>
      <c r="AH52" t="s">
        <v>492</v>
      </c>
      <c r="AI52" t="s">
        <v>353</v>
      </c>
      <c r="AJ52" t="s">
        <v>490</v>
      </c>
      <c r="AK52" s="1">
        <v>1422900</v>
      </c>
      <c r="AL52" s="1">
        <v>0</v>
      </c>
      <c r="AM52" s="1">
        <v>1422900</v>
      </c>
      <c r="AN52" s="1">
        <v>711450</v>
      </c>
      <c r="AO52" s="1">
        <v>0</v>
      </c>
      <c r="AP52" s="1">
        <v>711450</v>
      </c>
      <c r="AQ52" s="1">
        <v>711450</v>
      </c>
      <c r="AR52" s="1">
        <v>0</v>
      </c>
      <c r="AS52" s="1">
        <v>711450</v>
      </c>
      <c r="AT52" s="1">
        <v>0</v>
      </c>
      <c r="BA52" s="195"/>
      <c r="BB52" s="195"/>
      <c r="BC52" s="195"/>
      <c r="BD52" s="195"/>
      <c r="BE52" s="195"/>
      <c r="BF52" s="195"/>
      <c r="BG52" s="195"/>
      <c r="BH52" s="195"/>
      <c r="BI52" s="195"/>
    </row>
    <row r="53" spans="1:61" x14ac:dyDescent="0.25">
      <c r="A53" t="s">
        <v>343</v>
      </c>
      <c r="B53" t="s">
        <v>344</v>
      </c>
      <c r="C53" t="s">
        <v>345</v>
      </c>
      <c r="D53" t="s">
        <v>346</v>
      </c>
      <c r="E53" t="s">
        <v>487</v>
      </c>
      <c r="F53" t="s">
        <v>75</v>
      </c>
      <c r="G53" t="s">
        <v>488</v>
      </c>
      <c r="H53" t="s">
        <v>489</v>
      </c>
      <c r="I53" t="s">
        <v>493</v>
      </c>
      <c r="J53" t="s">
        <v>494</v>
      </c>
      <c r="AG53" t="s">
        <v>495</v>
      </c>
      <c r="AH53" t="s">
        <v>494</v>
      </c>
      <c r="AI53" t="s">
        <v>353</v>
      </c>
      <c r="AJ53" t="s">
        <v>493</v>
      </c>
      <c r="AK53" s="1">
        <v>141490</v>
      </c>
      <c r="AL53" s="1">
        <v>0</v>
      </c>
      <c r="AM53" s="1">
        <v>141490</v>
      </c>
      <c r="AN53" s="1">
        <v>71145</v>
      </c>
      <c r="AO53" s="1">
        <v>0</v>
      </c>
      <c r="AP53" s="1">
        <v>71145</v>
      </c>
      <c r="AQ53" s="1">
        <v>71145</v>
      </c>
      <c r="AR53" s="1">
        <v>0</v>
      </c>
      <c r="AS53" s="1">
        <v>71145</v>
      </c>
      <c r="AT53" s="1">
        <v>0</v>
      </c>
      <c r="BA53" s="195"/>
      <c r="BB53" s="195"/>
      <c r="BC53" s="195"/>
      <c r="BD53" s="195"/>
      <c r="BE53" s="195"/>
      <c r="BF53" s="195"/>
      <c r="BG53" s="195"/>
      <c r="BH53" s="195"/>
      <c r="BI53" s="195"/>
    </row>
    <row r="54" spans="1:61" x14ac:dyDescent="0.25">
      <c r="A54" t="s">
        <v>343</v>
      </c>
      <c r="B54" t="s">
        <v>344</v>
      </c>
      <c r="C54" t="s">
        <v>345</v>
      </c>
      <c r="D54" t="s">
        <v>346</v>
      </c>
      <c r="E54" t="s">
        <v>487</v>
      </c>
      <c r="F54" t="s">
        <v>75</v>
      </c>
      <c r="G54" t="s">
        <v>488</v>
      </c>
      <c r="H54" t="s">
        <v>489</v>
      </c>
      <c r="I54" t="s">
        <v>496</v>
      </c>
      <c r="J54" t="s">
        <v>497</v>
      </c>
      <c r="AG54" t="s">
        <v>498</v>
      </c>
      <c r="AH54" t="s">
        <v>497</v>
      </c>
      <c r="AI54" t="s">
        <v>353</v>
      </c>
      <c r="AJ54" t="s">
        <v>496</v>
      </c>
      <c r="AK54" s="1">
        <v>13707.22</v>
      </c>
      <c r="AL54" s="1">
        <v>0</v>
      </c>
      <c r="AM54" s="1">
        <v>13707.22</v>
      </c>
      <c r="AN54" s="1">
        <v>6853.61</v>
      </c>
      <c r="AO54" s="1">
        <v>0</v>
      </c>
      <c r="AP54" s="1">
        <v>6853.61</v>
      </c>
      <c r="AQ54" s="1">
        <v>6853.61</v>
      </c>
      <c r="AR54" s="1">
        <v>0</v>
      </c>
      <c r="AS54" s="1">
        <v>6853.61</v>
      </c>
      <c r="AT54" s="1">
        <v>0</v>
      </c>
      <c r="BA54" s="195"/>
      <c r="BB54" s="195"/>
      <c r="BC54" s="195"/>
      <c r="BD54" s="195"/>
      <c r="BE54" s="195"/>
      <c r="BF54" s="195"/>
      <c r="BG54" s="195"/>
      <c r="BH54" s="195"/>
      <c r="BI54" s="195"/>
    </row>
    <row r="55" spans="1:61" x14ac:dyDescent="0.25">
      <c r="A55" t="s">
        <v>343</v>
      </c>
      <c r="B55" t="s">
        <v>344</v>
      </c>
      <c r="C55" t="s">
        <v>345</v>
      </c>
      <c r="D55" t="s">
        <v>346</v>
      </c>
      <c r="E55" t="s">
        <v>487</v>
      </c>
      <c r="F55" t="s">
        <v>75</v>
      </c>
      <c r="G55" t="s">
        <v>488</v>
      </c>
      <c r="H55" t="s">
        <v>489</v>
      </c>
      <c r="I55" t="s">
        <v>499</v>
      </c>
      <c r="J55" t="s">
        <v>77</v>
      </c>
      <c r="AG55" t="s">
        <v>500</v>
      </c>
      <c r="AH55" t="s">
        <v>501</v>
      </c>
      <c r="AI55" t="s">
        <v>353</v>
      </c>
      <c r="AJ55" t="s">
        <v>499</v>
      </c>
      <c r="AK55" s="1">
        <v>18747.32</v>
      </c>
      <c r="AL55" s="1">
        <v>0</v>
      </c>
      <c r="AM55" s="1">
        <v>18747.32</v>
      </c>
      <c r="AN55" s="1">
        <v>9023.66</v>
      </c>
      <c r="AO55" s="1">
        <v>0</v>
      </c>
      <c r="AP55" s="1">
        <v>9023.66</v>
      </c>
      <c r="AQ55" s="1">
        <v>8513.66</v>
      </c>
      <c r="AR55" s="1">
        <v>0</v>
      </c>
      <c r="AS55" s="1">
        <v>8513.66</v>
      </c>
      <c r="AT55" s="1">
        <v>0</v>
      </c>
      <c r="BA55" s="195"/>
      <c r="BB55" s="195"/>
      <c r="BC55" s="195"/>
      <c r="BD55" s="195"/>
      <c r="BE55" s="195"/>
      <c r="BF55" s="195"/>
      <c r="BG55" s="195"/>
      <c r="BH55" s="195"/>
      <c r="BI55" s="195"/>
    </row>
    <row r="56" spans="1:61" x14ac:dyDescent="0.25">
      <c r="A56" t="s">
        <v>343</v>
      </c>
      <c r="B56" t="s">
        <v>344</v>
      </c>
      <c r="C56" t="s">
        <v>345</v>
      </c>
      <c r="D56" t="s">
        <v>346</v>
      </c>
      <c r="E56" t="s">
        <v>487</v>
      </c>
      <c r="F56" t="s">
        <v>75</v>
      </c>
      <c r="G56" t="s">
        <v>488</v>
      </c>
      <c r="H56" t="s">
        <v>489</v>
      </c>
      <c r="I56" t="s">
        <v>502</v>
      </c>
      <c r="J56" t="s">
        <v>503</v>
      </c>
      <c r="AG56" t="s">
        <v>504</v>
      </c>
      <c r="AH56" t="s">
        <v>505</v>
      </c>
      <c r="AI56" t="s">
        <v>353</v>
      </c>
      <c r="AJ56" t="s">
        <v>502</v>
      </c>
      <c r="AK56" s="1">
        <v>77246.87</v>
      </c>
      <c r="AL56" s="1">
        <v>0</v>
      </c>
      <c r="AM56" s="1">
        <v>77246.87</v>
      </c>
      <c r="AN56" s="1">
        <v>77246.87</v>
      </c>
      <c r="AO56" s="1">
        <v>0</v>
      </c>
      <c r="AP56" s="1">
        <v>77246.87</v>
      </c>
      <c r="AQ56" s="1">
        <v>77246.87</v>
      </c>
      <c r="AR56" s="1">
        <v>0</v>
      </c>
      <c r="AS56" s="1">
        <v>77246.87</v>
      </c>
      <c r="AT56" s="1">
        <v>0</v>
      </c>
      <c r="BA56" s="195"/>
      <c r="BB56" s="195"/>
      <c r="BC56" s="195"/>
      <c r="BD56" s="195"/>
      <c r="BE56" s="195"/>
      <c r="BF56" s="195"/>
      <c r="BG56" s="195"/>
      <c r="BH56" s="195"/>
      <c r="BI56" s="195"/>
    </row>
    <row r="57" spans="1:61" x14ac:dyDescent="0.25">
      <c r="A57" t="s">
        <v>343</v>
      </c>
      <c r="B57" t="s">
        <v>344</v>
      </c>
      <c r="C57" t="s">
        <v>345</v>
      </c>
      <c r="D57" t="s">
        <v>346</v>
      </c>
      <c r="E57" t="s">
        <v>487</v>
      </c>
      <c r="F57" t="s">
        <v>75</v>
      </c>
      <c r="G57" t="s">
        <v>488</v>
      </c>
      <c r="H57" t="s">
        <v>489</v>
      </c>
      <c r="I57" t="s">
        <v>502</v>
      </c>
      <c r="J57" t="s">
        <v>503</v>
      </c>
      <c r="AG57" t="s">
        <v>506</v>
      </c>
      <c r="AH57" t="s">
        <v>507</v>
      </c>
      <c r="AI57" t="s">
        <v>353</v>
      </c>
      <c r="AJ57" t="s">
        <v>502</v>
      </c>
      <c r="AK57" s="1">
        <v>-77246.87</v>
      </c>
      <c r="AL57" s="1">
        <v>0</v>
      </c>
      <c r="AM57" s="1">
        <v>-77246.87</v>
      </c>
      <c r="AN57" s="1">
        <v>-77246.87</v>
      </c>
      <c r="AO57" s="1">
        <v>0</v>
      </c>
      <c r="AP57" s="1">
        <v>-77246.87</v>
      </c>
      <c r="AQ57" s="1">
        <v>-77246.87</v>
      </c>
      <c r="AR57" s="1">
        <v>0</v>
      </c>
      <c r="AS57" s="1">
        <v>-77246.87</v>
      </c>
      <c r="AT57" s="1">
        <v>0</v>
      </c>
      <c r="BA57" s="195"/>
      <c r="BB57" s="195"/>
      <c r="BC57" s="195"/>
      <c r="BD57" s="195"/>
      <c r="BE57" s="195"/>
      <c r="BF57" s="195"/>
      <c r="BG57" s="195"/>
      <c r="BH57" s="195"/>
      <c r="BI57" s="195"/>
    </row>
    <row r="58" spans="1:61" x14ac:dyDescent="0.25">
      <c r="A58" t="s">
        <v>343</v>
      </c>
      <c r="B58" t="s">
        <v>344</v>
      </c>
      <c r="C58" t="s">
        <v>345</v>
      </c>
      <c r="D58" t="s">
        <v>346</v>
      </c>
      <c r="E58" t="s">
        <v>487</v>
      </c>
      <c r="F58" t="s">
        <v>75</v>
      </c>
      <c r="G58" t="s">
        <v>488</v>
      </c>
      <c r="H58" t="s">
        <v>489</v>
      </c>
      <c r="I58" t="s">
        <v>502</v>
      </c>
      <c r="J58" t="s">
        <v>503</v>
      </c>
      <c r="AG58" t="s">
        <v>508</v>
      </c>
      <c r="AH58" t="s">
        <v>509</v>
      </c>
      <c r="AI58" t="s">
        <v>353</v>
      </c>
      <c r="AJ58" t="s">
        <v>502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-330</v>
      </c>
      <c r="AR58" s="1">
        <v>0</v>
      </c>
      <c r="AS58" s="1">
        <v>-330</v>
      </c>
      <c r="AT58" s="1">
        <v>0</v>
      </c>
      <c r="BA58" s="195"/>
      <c r="BB58" s="195"/>
      <c r="BC58" s="195"/>
      <c r="BD58" s="195"/>
      <c r="BE58" s="195"/>
      <c r="BF58" s="195"/>
      <c r="BG58" s="195"/>
      <c r="BH58" s="195"/>
      <c r="BI58" s="195"/>
    </row>
    <row r="59" spans="1:61" x14ac:dyDescent="0.25">
      <c r="A59" t="s">
        <v>343</v>
      </c>
      <c r="B59" t="s">
        <v>344</v>
      </c>
      <c r="C59" t="s">
        <v>345</v>
      </c>
      <c r="D59" t="s">
        <v>346</v>
      </c>
      <c r="E59" t="s">
        <v>487</v>
      </c>
      <c r="F59" t="s">
        <v>75</v>
      </c>
      <c r="G59" t="s">
        <v>488</v>
      </c>
      <c r="H59" t="s">
        <v>489</v>
      </c>
      <c r="I59" t="s">
        <v>502</v>
      </c>
      <c r="J59" t="s">
        <v>503</v>
      </c>
      <c r="AG59" t="s">
        <v>510</v>
      </c>
      <c r="AH59" t="s">
        <v>511</v>
      </c>
      <c r="AI59" t="s">
        <v>353</v>
      </c>
      <c r="AJ59" t="s">
        <v>502</v>
      </c>
      <c r="AK59" s="1">
        <v>-41451.019999999997</v>
      </c>
      <c r="AL59" s="1">
        <v>0</v>
      </c>
      <c r="AM59" s="1">
        <v>-41451.019999999997</v>
      </c>
      <c r="AN59" s="1">
        <v>-40273.019999999997</v>
      </c>
      <c r="AO59" s="1">
        <v>0</v>
      </c>
      <c r="AP59" s="1">
        <v>-40273.019999999997</v>
      </c>
      <c r="AQ59" s="1">
        <v>-28364.67</v>
      </c>
      <c r="AR59" s="1">
        <v>0</v>
      </c>
      <c r="AS59" s="1">
        <v>-28364.67</v>
      </c>
      <c r="AT59" s="1">
        <v>0</v>
      </c>
      <c r="BA59" s="195"/>
      <c r="BB59" s="195"/>
      <c r="BC59" s="195"/>
      <c r="BD59" s="195"/>
      <c r="BE59" s="195"/>
      <c r="BF59" s="195"/>
      <c r="BG59" s="195"/>
      <c r="BH59" s="195"/>
      <c r="BI59" s="195"/>
    </row>
    <row r="60" spans="1:61" x14ac:dyDescent="0.25">
      <c r="A60" t="s">
        <v>343</v>
      </c>
      <c r="B60" t="s">
        <v>344</v>
      </c>
      <c r="C60" t="s">
        <v>345</v>
      </c>
      <c r="D60" t="s">
        <v>346</v>
      </c>
      <c r="E60" t="s">
        <v>487</v>
      </c>
      <c r="F60" t="s">
        <v>75</v>
      </c>
      <c r="G60" t="s">
        <v>488</v>
      </c>
      <c r="H60" t="s">
        <v>489</v>
      </c>
      <c r="I60" t="s">
        <v>502</v>
      </c>
      <c r="J60" t="s">
        <v>503</v>
      </c>
      <c r="AG60" t="s">
        <v>512</v>
      </c>
      <c r="AH60" t="s">
        <v>513</v>
      </c>
      <c r="AI60" t="s">
        <v>353</v>
      </c>
      <c r="AJ60" t="s">
        <v>502</v>
      </c>
      <c r="AK60" s="1">
        <v>-109065</v>
      </c>
      <c r="AL60" s="1">
        <v>0</v>
      </c>
      <c r="AM60" s="1">
        <v>-109065</v>
      </c>
      <c r="AN60" s="1">
        <v>-36355</v>
      </c>
      <c r="AO60" s="1">
        <v>0</v>
      </c>
      <c r="AP60" s="1">
        <v>-36355</v>
      </c>
      <c r="AQ60" s="1">
        <v>-133914.34</v>
      </c>
      <c r="AR60" s="1">
        <v>0</v>
      </c>
      <c r="AS60" s="1">
        <v>-133914.34</v>
      </c>
      <c r="AT60" s="1">
        <v>0</v>
      </c>
      <c r="BA60" s="195"/>
      <c r="BB60" s="195"/>
      <c r="BC60" s="195"/>
      <c r="BD60" s="195"/>
      <c r="BE60" s="195"/>
      <c r="BF60" s="195"/>
      <c r="BG60" s="195"/>
      <c r="BH60" s="195"/>
      <c r="BI60" s="195"/>
    </row>
    <row r="61" spans="1:61" x14ac:dyDescent="0.25">
      <c r="A61" t="s">
        <v>343</v>
      </c>
      <c r="B61" t="s">
        <v>344</v>
      </c>
      <c r="C61" t="s">
        <v>345</v>
      </c>
      <c r="D61" t="s">
        <v>346</v>
      </c>
      <c r="E61" t="s">
        <v>487</v>
      </c>
      <c r="F61" t="s">
        <v>75</v>
      </c>
      <c r="G61" t="s">
        <v>488</v>
      </c>
      <c r="H61" t="s">
        <v>489</v>
      </c>
      <c r="I61" t="s">
        <v>502</v>
      </c>
      <c r="J61" t="s">
        <v>503</v>
      </c>
      <c r="AG61" t="s">
        <v>514</v>
      </c>
      <c r="AH61" t="s">
        <v>515</v>
      </c>
      <c r="AI61" t="s">
        <v>353</v>
      </c>
      <c r="AJ61" t="s">
        <v>502</v>
      </c>
      <c r="AK61" s="1">
        <v>-10184.01</v>
      </c>
      <c r="AL61" s="1">
        <v>0</v>
      </c>
      <c r="AM61" s="1">
        <v>-10184.01</v>
      </c>
      <c r="AN61" s="1">
        <v>-3394.67</v>
      </c>
      <c r="AO61" s="1">
        <v>0</v>
      </c>
      <c r="AP61" s="1">
        <v>-3394.67</v>
      </c>
      <c r="AQ61" s="1">
        <v>-10788.15</v>
      </c>
      <c r="AR61" s="1">
        <v>0</v>
      </c>
      <c r="AS61" s="1">
        <v>-10788.15</v>
      </c>
      <c r="AT61" s="1">
        <v>0</v>
      </c>
      <c r="BA61" s="195"/>
      <c r="BB61" s="195"/>
      <c r="BC61" s="195"/>
      <c r="BD61" s="195"/>
      <c r="BE61" s="195"/>
      <c r="BF61" s="195"/>
      <c r="BG61" s="195"/>
      <c r="BH61" s="195"/>
      <c r="BI61" s="195"/>
    </row>
    <row r="62" spans="1:61" x14ac:dyDescent="0.25">
      <c r="A62" t="s">
        <v>343</v>
      </c>
      <c r="B62" t="s">
        <v>344</v>
      </c>
      <c r="C62" t="s">
        <v>345</v>
      </c>
      <c r="D62" t="s">
        <v>346</v>
      </c>
      <c r="E62" t="s">
        <v>487</v>
      </c>
      <c r="F62" t="s">
        <v>75</v>
      </c>
      <c r="G62" t="s">
        <v>488</v>
      </c>
      <c r="H62" t="s">
        <v>489</v>
      </c>
      <c r="I62" t="s">
        <v>502</v>
      </c>
      <c r="J62" t="s">
        <v>503</v>
      </c>
      <c r="AG62" t="s">
        <v>516</v>
      </c>
      <c r="AH62" t="s">
        <v>517</v>
      </c>
      <c r="AI62" t="s">
        <v>353</v>
      </c>
      <c r="AJ62" t="s">
        <v>502</v>
      </c>
      <c r="AK62" s="1">
        <v>-262617.71000000002</v>
      </c>
      <c r="AL62" s="1">
        <v>0</v>
      </c>
      <c r="AM62" s="1">
        <v>-262617.71000000002</v>
      </c>
      <c r="AN62" s="1">
        <v>-82617.710000000006</v>
      </c>
      <c r="AO62" s="1">
        <v>0</v>
      </c>
      <c r="AP62" s="1">
        <v>-82617.710000000006</v>
      </c>
      <c r="AQ62" s="1">
        <v>-100386.55</v>
      </c>
      <c r="AR62" s="1">
        <v>0</v>
      </c>
      <c r="AS62" s="1">
        <v>-100386.55</v>
      </c>
      <c r="AT62" s="1">
        <v>0</v>
      </c>
      <c r="BA62" s="195"/>
      <c r="BB62" s="195"/>
      <c r="BC62" s="195"/>
      <c r="BD62" s="195"/>
      <c r="BE62" s="195"/>
      <c r="BF62" s="195"/>
      <c r="BG62" s="195"/>
      <c r="BH62" s="195"/>
      <c r="BI62" s="195"/>
    </row>
    <row r="63" spans="1:61" x14ac:dyDescent="0.25">
      <c r="A63" t="s">
        <v>343</v>
      </c>
      <c r="B63" t="s">
        <v>344</v>
      </c>
      <c r="C63" t="s">
        <v>345</v>
      </c>
      <c r="D63" t="s">
        <v>346</v>
      </c>
      <c r="E63" t="s">
        <v>487</v>
      </c>
      <c r="F63" t="s">
        <v>75</v>
      </c>
      <c r="G63" t="s">
        <v>488</v>
      </c>
      <c r="H63" t="s">
        <v>489</v>
      </c>
      <c r="I63" t="s">
        <v>502</v>
      </c>
      <c r="J63" t="s">
        <v>503</v>
      </c>
      <c r="AG63" t="s">
        <v>518</v>
      </c>
      <c r="AH63" t="s">
        <v>519</v>
      </c>
      <c r="AI63" t="s">
        <v>353</v>
      </c>
      <c r="AJ63" t="s">
        <v>502</v>
      </c>
      <c r="AK63" s="1">
        <v>-32937.03</v>
      </c>
      <c r="AL63" s="1">
        <v>0</v>
      </c>
      <c r="AM63" s="1">
        <v>-32937.03</v>
      </c>
      <c r="AN63" s="1">
        <v>-10979.01</v>
      </c>
      <c r="AO63" s="1">
        <v>0</v>
      </c>
      <c r="AP63" s="1">
        <v>-10979.01</v>
      </c>
      <c r="AQ63" s="1">
        <v>-10717.21</v>
      </c>
      <c r="AR63" s="1">
        <v>0</v>
      </c>
      <c r="AS63" s="1">
        <v>-10717.21</v>
      </c>
      <c r="AT63" s="1">
        <v>0</v>
      </c>
      <c r="BA63" s="195"/>
      <c r="BB63" s="195"/>
      <c r="BC63" s="195"/>
      <c r="BD63" s="195"/>
      <c r="BE63" s="195"/>
      <c r="BF63" s="195"/>
      <c r="BG63" s="195"/>
      <c r="BH63" s="195"/>
      <c r="BI63" s="195"/>
    </row>
    <row r="64" spans="1:61" x14ac:dyDescent="0.25">
      <c r="A64" t="s">
        <v>343</v>
      </c>
      <c r="B64" t="s">
        <v>344</v>
      </c>
      <c r="C64" t="s">
        <v>345</v>
      </c>
      <c r="D64" t="s">
        <v>346</v>
      </c>
      <c r="E64" t="s">
        <v>487</v>
      </c>
      <c r="F64" t="s">
        <v>75</v>
      </c>
      <c r="G64" t="s">
        <v>488</v>
      </c>
      <c r="H64" t="s">
        <v>489</v>
      </c>
      <c r="I64" t="s">
        <v>502</v>
      </c>
      <c r="J64" t="s">
        <v>503</v>
      </c>
      <c r="AG64" t="s">
        <v>520</v>
      </c>
      <c r="AH64" t="s">
        <v>521</v>
      </c>
      <c r="AI64" t="s">
        <v>353</v>
      </c>
      <c r="AJ64" t="s">
        <v>502</v>
      </c>
      <c r="AK64" s="1">
        <v>-34440</v>
      </c>
      <c r="AL64" s="1">
        <v>0</v>
      </c>
      <c r="AM64" s="1">
        <v>-34440</v>
      </c>
      <c r="AN64" s="1">
        <v>-11480</v>
      </c>
      <c r="AO64" s="1">
        <v>0</v>
      </c>
      <c r="AP64" s="1">
        <v>-11480</v>
      </c>
      <c r="AQ64" s="1">
        <v>-375</v>
      </c>
      <c r="AR64" s="1">
        <v>0</v>
      </c>
      <c r="AS64" s="1">
        <v>-375</v>
      </c>
      <c r="AT64" s="1">
        <v>0</v>
      </c>
      <c r="BA64" s="195"/>
      <c r="BB64" s="195"/>
      <c r="BC64" s="195"/>
      <c r="BD64" s="195"/>
      <c r="BE64" s="195"/>
      <c r="BF64" s="195"/>
      <c r="BG64" s="195"/>
      <c r="BH64" s="195"/>
      <c r="BI64" s="195"/>
    </row>
    <row r="65" spans="1:61" x14ac:dyDescent="0.25">
      <c r="A65" t="s">
        <v>343</v>
      </c>
      <c r="B65" t="s">
        <v>344</v>
      </c>
      <c r="C65" t="s">
        <v>345</v>
      </c>
      <c r="D65" t="s">
        <v>346</v>
      </c>
      <c r="E65" t="s">
        <v>487</v>
      </c>
      <c r="F65" t="s">
        <v>75</v>
      </c>
      <c r="G65" t="s">
        <v>488</v>
      </c>
      <c r="H65" t="s">
        <v>489</v>
      </c>
      <c r="I65" t="s">
        <v>502</v>
      </c>
      <c r="J65" t="s">
        <v>503</v>
      </c>
      <c r="AG65" t="s">
        <v>522</v>
      </c>
      <c r="AH65" t="s">
        <v>523</v>
      </c>
      <c r="AI65" t="s">
        <v>353</v>
      </c>
      <c r="AJ65" t="s">
        <v>502</v>
      </c>
      <c r="AK65" s="1">
        <v>-65735.28</v>
      </c>
      <c r="AL65" s="1">
        <v>0</v>
      </c>
      <c r="AM65" s="1">
        <v>-65735.28</v>
      </c>
      <c r="AN65" s="1">
        <v>-21911.759999999998</v>
      </c>
      <c r="AO65" s="1">
        <v>0</v>
      </c>
      <c r="AP65" s="1">
        <v>-21911.759999999998</v>
      </c>
      <c r="AQ65" s="1">
        <v>-20483.95</v>
      </c>
      <c r="AR65" s="1">
        <v>0</v>
      </c>
      <c r="AS65" s="1">
        <v>-20483.95</v>
      </c>
      <c r="AT65" s="1">
        <v>0</v>
      </c>
      <c r="BA65" s="195"/>
      <c r="BB65" s="195"/>
      <c r="BC65" s="195"/>
      <c r="BD65" s="195"/>
      <c r="BE65" s="195"/>
      <c r="BF65" s="195"/>
      <c r="BG65" s="195"/>
      <c r="BH65" s="195"/>
      <c r="BI65" s="195"/>
    </row>
    <row r="66" spans="1:61" x14ac:dyDescent="0.25">
      <c r="A66" t="s">
        <v>343</v>
      </c>
      <c r="B66" t="s">
        <v>344</v>
      </c>
      <c r="C66" t="s">
        <v>345</v>
      </c>
      <c r="D66" t="s">
        <v>346</v>
      </c>
      <c r="E66" t="s">
        <v>487</v>
      </c>
      <c r="F66" t="s">
        <v>75</v>
      </c>
      <c r="G66" t="s">
        <v>488</v>
      </c>
      <c r="H66" t="s">
        <v>489</v>
      </c>
      <c r="I66" t="s">
        <v>502</v>
      </c>
      <c r="J66" t="s">
        <v>503</v>
      </c>
      <c r="AG66" t="s">
        <v>524</v>
      </c>
      <c r="AH66" t="s">
        <v>525</v>
      </c>
      <c r="AI66" t="s">
        <v>353</v>
      </c>
      <c r="AJ66" t="s">
        <v>502</v>
      </c>
      <c r="AK66" s="1">
        <v>-15645.27</v>
      </c>
      <c r="AL66" s="1">
        <v>0</v>
      </c>
      <c r="AM66" s="1">
        <v>-15645.27</v>
      </c>
      <c r="AN66" s="1">
        <v>-5215.09</v>
      </c>
      <c r="AO66" s="1">
        <v>0</v>
      </c>
      <c r="AP66" s="1">
        <v>-5215.09</v>
      </c>
      <c r="AQ66" s="1">
        <v>-4942.6099999999997</v>
      </c>
      <c r="AR66" s="1">
        <v>0</v>
      </c>
      <c r="AS66" s="1">
        <v>-4942.6099999999997</v>
      </c>
      <c r="AT66" s="1">
        <v>0</v>
      </c>
      <c r="BA66" s="195"/>
      <c r="BB66" s="195"/>
      <c r="BC66" s="195"/>
      <c r="BD66" s="195"/>
      <c r="BE66" s="195"/>
      <c r="BF66" s="195"/>
      <c r="BG66" s="195"/>
      <c r="BH66" s="195"/>
      <c r="BI66" s="195"/>
    </row>
    <row r="67" spans="1:61" x14ac:dyDescent="0.25">
      <c r="A67" t="s">
        <v>343</v>
      </c>
      <c r="B67" t="s">
        <v>344</v>
      </c>
      <c r="C67" t="s">
        <v>345</v>
      </c>
      <c r="D67" t="s">
        <v>346</v>
      </c>
      <c r="E67" t="s">
        <v>487</v>
      </c>
      <c r="F67" t="s">
        <v>75</v>
      </c>
      <c r="G67" t="s">
        <v>488</v>
      </c>
      <c r="H67" t="s">
        <v>489</v>
      </c>
      <c r="I67" t="s">
        <v>502</v>
      </c>
      <c r="J67" t="s">
        <v>503</v>
      </c>
      <c r="AG67" t="s">
        <v>526</v>
      </c>
      <c r="AH67" t="s">
        <v>527</v>
      </c>
      <c r="AI67" t="s">
        <v>353</v>
      </c>
      <c r="AJ67" t="s">
        <v>502</v>
      </c>
      <c r="AK67" s="1">
        <v>-80912.67</v>
      </c>
      <c r="AL67" s="1">
        <v>0</v>
      </c>
      <c r="AM67" s="1">
        <v>-80912.67</v>
      </c>
      <c r="AN67" s="1">
        <v>-26970.89</v>
      </c>
      <c r="AO67" s="1">
        <v>0</v>
      </c>
      <c r="AP67" s="1">
        <v>-26970.89</v>
      </c>
      <c r="AQ67" s="1">
        <v>-22319.54</v>
      </c>
      <c r="AR67" s="1">
        <v>0</v>
      </c>
      <c r="AS67" s="1">
        <v>-22319.54</v>
      </c>
      <c r="AT67" s="1">
        <v>0</v>
      </c>
      <c r="BA67" s="195"/>
      <c r="BB67" s="195"/>
      <c r="BC67" s="195"/>
      <c r="BD67" s="195"/>
      <c r="BE67" s="195"/>
      <c r="BF67" s="195"/>
      <c r="BG67" s="195"/>
      <c r="BH67" s="195"/>
      <c r="BI67" s="195"/>
    </row>
    <row r="68" spans="1:61" x14ac:dyDescent="0.25">
      <c r="A68" t="s">
        <v>343</v>
      </c>
      <c r="B68" t="s">
        <v>344</v>
      </c>
      <c r="C68" t="s">
        <v>345</v>
      </c>
      <c r="D68" t="s">
        <v>346</v>
      </c>
      <c r="E68" t="s">
        <v>487</v>
      </c>
      <c r="F68" t="s">
        <v>75</v>
      </c>
      <c r="G68" t="s">
        <v>488</v>
      </c>
      <c r="H68" t="s">
        <v>489</v>
      </c>
      <c r="I68" t="s">
        <v>502</v>
      </c>
      <c r="J68" t="s">
        <v>503</v>
      </c>
      <c r="AG68" t="s">
        <v>528</v>
      </c>
      <c r="AH68" t="s">
        <v>529</v>
      </c>
      <c r="AI68" t="s">
        <v>353</v>
      </c>
      <c r="AJ68" t="s">
        <v>502</v>
      </c>
      <c r="AK68" s="1">
        <v>-50696.04</v>
      </c>
      <c r="AL68" s="1">
        <v>0</v>
      </c>
      <c r="AM68" s="1">
        <v>-50696.04</v>
      </c>
      <c r="AN68" s="1">
        <v>-16898.68</v>
      </c>
      <c r="AO68" s="1">
        <v>0</v>
      </c>
      <c r="AP68" s="1">
        <v>-16898.68</v>
      </c>
      <c r="AQ68" s="1">
        <v>-15646.86</v>
      </c>
      <c r="AR68" s="1">
        <v>0</v>
      </c>
      <c r="AS68" s="1">
        <v>-15646.86</v>
      </c>
      <c r="AT68" s="1">
        <v>0</v>
      </c>
      <c r="BA68" s="195"/>
      <c r="BB68" s="195"/>
      <c r="BC68" s="195"/>
      <c r="BD68" s="195"/>
      <c r="BE68" s="195"/>
      <c r="BF68" s="195"/>
      <c r="BG68" s="195"/>
      <c r="BH68" s="195"/>
      <c r="BI68" s="195"/>
    </row>
    <row r="69" spans="1:61" x14ac:dyDescent="0.25">
      <c r="A69" t="s">
        <v>343</v>
      </c>
      <c r="B69" t="s">
        <v>344</v>
      </c>
      <c r="C69" t="s">
        <v>345</v>
      </c>
      <c r="D69" t="s">
        <v>346</v>
      </c>
      <c r="E69" t="s">
        <v>487</v>
      </c>
      <c r="F69" t="s">
        <v>75</v>
      </c>
      <c r="G69" t="s">
        <v>488</v>
      </c>
      <c r="H69" t="s">
        <v>489</v>
      </c>
      <c r="I69" t="s">
        <v>502</v>
      </c>
      <c r="J69" t="s">
        <v>503</v>
      </c>
      <c r="AG69" t="s">
        <v>530</v>
      </c>
      <c r="AH69" t="s">
        <v>531</v>
      </c>
      <c r="AI69" t="s">
        <v>353</v>
      </c>
      <c r="AJ69" t="s">
        <v>502</v>
      </c>
      <c r="AK69" s="1">
        <v>-40410.449999999997</v>
      </c>
      <c r="AL69" s="1">
        <v>0</v>
      </c>
      <c r="AM69" s="1">
        <v>-40410.449999999997</v>
      </c>
      <c r="AN69" s="1">
        <v>-13470.15</v>
      </c>
      <c r="AO69" s="1">
        <v>0</v>
      </c>
      <c r="AP69" s="1">
        <v>-13470.15</v>
      </c>
      <c r="AQ69" s="1">
        <v>-16668.03</v>
      </c>
      <c r="AR69" s="1">
        <v>0</v>
      </c>
      <c r="AS69" s="1">
        <v>-16668.03</v>
      </c>
      <c r="AT69" s="1">
        <v>0</v>
      </c>
      <c r="BA69" s="195"/>
      <c r="BB69" s="195"/>
      <c r="BC69" s="195"/>
      <c r="BD69" s="195"/>
      <c r="BE69" s="195"/>
      <c r="BF69" s="195"/>
      <c r="BG69" s="195"/>
      <c r="BH69" s="195"/>
      <c r="BI69" s="195"/>
    </row>
    <row r="70" spans="1:61" x14ac:dyDescent="0.25">
      <c r="A70" t="s">
        <v>343</v>
      </c>
      <c r="B70" t="s">
        <v>344</v>
      </c>
      <c r="C70" t="s">
        <v>345</v>
      </c>
      <c r="D70" t="s">
        <v>346</v>
      </c>
      <c r="E70" t="s">
        <v>487</v>
      </c>
      <c r="F70" t="s">
        <v>75</v>
      </c>
      <c r="G70" t="s">
        <v>488</v>
      </c>
      <c r="H70" t="s">
        <v>489</v>
      </c>
      <c r="I70" t="s">
        <v>502</v>
      </c>
      <c r="J70" t="s">
        <v>503</v>
      </c>
      <c r="AG70" t="s">
        <v>532</v>
      </c>
      <c r="AH70" t="s">
        <v>533</v>
      </c>
      <c r="AI70" t="s">
        <v>353</v>
      </c>
      <c r="AJ70" t="s">
        <v>502</v>
      </c>
      <c r="AK70" s="1">
        <v>-292522.75</v>
      </c>
      <c r="AL70" s="1">
        <v>0</v>
      </c>
      <c r="AM70" s="1">
        <v>-292522.75</v>
      </c>
      <c r="AN70" s="1">
        <v>-112522.75</v>
      </c>
      <c r="AO70" s="1">
        <v>0</v>
      </c>
      <c r="AP70" s="1">
        <v>-112522.75</v>
      </c>
      <c r="AQ70" s="1">
        <v>-187623.55</v>
      </c>
      <c r="AR70" s="1">
        <v>0</v>
      </c>
      <c r="AS70" s="1">
        <v>-187623.55</v>
      </c>
      <c r="AT70" s="1">
        <v>0</v>
      </c>
      <c r="BA70" s="195"/>
      <c r="BB70" s="195"/>
      <c r="BC70" s="195"/>
      <c r="BD70" s="195"/>
      <c r="BE70" s="195"/>
      <c r="BF70" s="195"/>
      <c r="BG70" s="195"/>
      <c r="BH70" s="195"/>
      <c r="BI70" s="195"/>
    </row>
    <row r="71" spans="1:61" x14ac:dyDescent="0.25">
      <c r="A71" t="s">
        <v>343</v>
      </c>
      <c r="B71" t="s">
        <v>344</v>
      </c>
      <c r="C71" t="s">
        <v>345</v>
      </c>
      <c r="D71" t="s">
        <v>346</v>
      </c>
      <c r="E71" t="s">
        <v>487</v>
      </c>
      <c r="F71" t="s">
        <v>75</v>
      </c>
      <c r="G71" t="s">
        <v>488</v>
      </c>
      <c r="H71" t="s">
        <v>489</v>
      </c>
      <c r="I71" t="s">
        <v>502</v>
      </c>
      <c r="J71" t="s">
        <v>503</v>
      </c>
      <c r="AG71" t="s">
        <v>534</v>
      </c>
      <c r="AH71" t="s">
        <v>535</v>
      </c>
      <c r="AI71" t="s">
        <v>353</v>
      </c>
      <c r="AJ71" t="s">
        <v>502</v>
      </c>
      <c r="AK71" s="1">
        <v>-780</v>
      </c>
      <c r="AL71" s="1">
        <v>0</v>
      </c>
      <c r="AM71" s="1">
        <v>-780</v>
      </c>
      <c r="AN71" s="1">
        <v>-260</v>
      </c>
      <c r="AO71" s="1">
        <v>0</v>
      </c>
      <c r="AP71" s="1">
        <v>-260</v>
      </c>
      <c r="AQ71" s="1">
        <v>0</v>
      </c>
      <c r="AR71" s="1">
        <v>0</v>
      </c>
      <c r="AS71" s="1">
        <v>0</v>
      </c>
      <c r="AT71" s="1">
        <v>0</v>
      </c>
      <c r="BA71" s="195"/>
      <c r="BB71" s="195"/>
      <c r="BC71" s="195"/>
      <c r="BD71" s="195"/>
      <c r="BE71" s="195"/>
      <c r="BF71" s="195"/>
      <c r="BG71" s="195"/>
      <c r="BH71" s="195"/>
      <c r="BI71" s="195"/>
    </row>
    <row r="72" spans="1:61" x14ac:dyDescent="0.25">
      <c r="A72" t="s">
        <v>343</v>
      </c>
      <c r="B72" t="s">
        <v>344</v>
      </c>
      <c r="C72" t="s">
        <v>345</v>
      </c>
      <c r="D72" t="s">
        <v>346</v>
      </c>
      <c r="E72" t="s">
        <v>487</v>
      </c>
      <c r="F72" t="s">
        <v>75</v>
      </c>
      <c r="G72" t="s">
        <v>488</v>
      </c>
      <c r="H72" t="s">
        <v>489</v>
      </c>
      <c r="I72" t="s">
        <v>502</v>
      </c>
      <c r="J72" t="s">
        <v>503</v>
      </c>
      <c r="AG72" t="s">
        <v>536</v>
      </c>
      <c r="AH72" t="s">
        <v>537</v>
      </c>
      <c r="AI72" t="s">
        <v>353</v>
      </c>
      <c r="AJ72" t="s">
        <v>502</v>
      </c>
      <c r="AK72" s="1">
        <v>-284855.67</v>
      </c>
      <c r="AL72" s="1">
        <v>0</v>
      </c>
      <c r="AM72" s="1">
        <v>-284855.67</v>
      </c>
      <c r="AN72" s="1">
        <v>-94951.89</v>
      </c>
      <c r="AO72" s="1">
        <v>0</v>
      </c>
      <c r="AP72" s="1">
        <v>-94951.89</v>
      </c>
      <c r="AQ72" s="1">
        <v>-136165.82</v>
      </c>
      <c r="AR72" s="1">
        <v>0</v>
      </c>
      <c r="AS72" s="1">
        <v>-136165.82</v>
      </c>
      <c r="AT72" s="1">
        <v>0</v>
      </c>
      <c r="BA72" s="195"/>
      <c r="BB72" s="195"/>
      <c r="BC72" s="195"/>
      <c r="BD72" s="195"/>
      <c r="BE72" s="195"/>
      <c r="BF72" s="195"/>
      <c r="BG72" s="195"/>
      <c r="BH72" s="195"/>
      <c r="BI72" s="195"/>
    </row>
    <row r="73" spans="1:61" x14ac:dyDescent="0.25">
      <c r="A73" t="s">
        <v>343</v>
      </c>
      <c r="B73" t="s">
        <v>344</v>
      </c>
      <c r="C73" t="s">
        <v>345</v>
      </c>
      <c r="D73" t="s">
        <v>346</v>
      </c>
      <c r="E73" t="s">
        <v>487</v>
      </c>
      <c r="F73" t="s">
        <v>75</v>
      </c>
      <c r="G73" t="s">
        <v>488</v>
      </c>
      <c r="H73" t="s">
        <v>489</v>
      </c>
      <c r="I73" t="s">
        <v>502</v>
      </c>
      <c r="J73" t="s">
        <v>503</v>
      </c>
      <c r="AG73" t="s">
        <v>538</v>
      </c>
      <c r="AH73" t="s">
        <v>539</v>
      </c>
      <c r="AI73" t="s">
        <v>353</v>
      </c>
      <c r="AJ73" t="s">
        <v>502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-2354.5</v>
      </c>
      <c r="AR73" s="1">
        <v>0</v>
      </c>
      <c r="AS73" s="1">
        <v>-2354.5</v>
      </c>
      <c r="AT73" s="1">
        <v>0</v>
      </c>
      <c r="BA73" s="195"/>
      <c r="BB73" s="195"/>
      <c r="BC73" s="195"/>
      <c r="BD73" s="195"/>
      <c r="BE73" s="195"/>
      <c r="BF73" s="195"/>
      <c r="BG73" s="195"/>
      <c r="BH73" s="195"/>
      <c r="BI73" s="195"/>
    </row>
    <row r="74" spans="1:61" x14ac:dyDescent="0.25">
      <c r="A74" t="s">
        <v>343</v>
      </c>
      <c r="B74" t="s">
        <v>344</v>
      </c>
      <c r="C74" t="s">
        <v>345</v>
      </c>
      <c r="D74" t="s">
        <v>346</v>
      </c>
      <c r="E74" t="s">
        <v>487</v>
      </c>
      <c r="F74" t="s">
        <v>75</v>
      </c>
      <c r="G74" t="s">
        <v>488</v>
      </c>
      <c r="H74" t="s">
        <v>489</v>
      </c>
      <c r="I74" t="s">
        <v>502</v>
      </c>
      <c r="J74" t="s">
        <v>503</v>
      </c>
      <c r="AG74" t="s">
        <v>540</v>
      </c>
      <c r="AH74" t="s">
        <v>541</v>
      </c>
      <c r="AI74" t="s">
        <v>353</v>
      </c>
      <c r="AJ74" t="s">
        <v>502</v>
      </c>
      <c r="AK74" s="1">
        <v>-2130.42</v>
      </c>
      <c r="AL74" s="1">
        <v>0</v>
      </c>
      <c r="AM74" s="1">
        <v>-2130.42</v>
      </c>
      <c r="AN74" s="1">
        <v>-710.14</v>
      </c>
      <c r="AO74" s="1">
        <v>0</v>
      </c>
      <c r="AP74" s="1">
        <v>-710.14</v>
      </c>
      <c r="AQ74" s="1">
        <v>0</v>
      </c>
      <c r="AR74" s="1">
        <v>0</v>
      </c>
      <c r="AS74" s="1">
        <v>0</v>
      </c>
      <c r="AT74" s="1">
        <v>0</v>
      </c>
      <c r="BA74" s="195"/>
      <c r="BB74" s="195"/>
      <c r="BC74" s="195"/>
      <c r="BD74" s="195"/>
      <c r="BE74" s="195"/>
      <c r="BF74" s="195"/>
      <c r="BG74" s="195"/>
      <c r="BH74" s="195"/>
      <c r="BI74" s="195"/>
    </row>
    <row r="75" spans="1:61" x14ac:dyDescent="0.25">
      <c r="A75" t="s">
        <v>343</v>
      </c>
      <c r="B75" t="s">
        <v>344</v>
      </c>
      <c r="C75" t="s">
        <v>345</v>
      </c>
      <c r="D75" t="s">
        <v>346</v>
      </c>
      <c r="E75" t="s">
        <v>487</v>
      </c>
      <c r="F75" t="s">
        <v>75</v>
      </c>
      <c r="G75" t="s">
        <v>488</v>
      </c>
      <c r="H75" t="s">
        <v>489</v>
      </c>
      <c r="I75" t="s">
        <v>502</v>
      </c>
      <c r="J75" t="s">
        <v>503</v>
      </c>
      <c r="AG75" t="s">
        <v>542</v>
      </c>
      <c r="AH75" t="s">
        <v>541</v>
      </c>
      <c r="AI75" t="s">
        <v>353</v>
      </c>
      <c r="AJ75" t="s">
        <v>502</v>
      </c>
      <c r="AK75" s="1">
        <v>-1835.01</v>
      </c>
      <c r="AL75" s="1">
        <v>0</v>
      </c>
      <c r="AM75" s="1">
        <v>-1835.01</v>
      </c>
      <c r="AN75" s="1">
        <v>-611.66999999999996</v>
      </c>
      <c r="AO75" s="1">
        <v>0</v>
      </c>
      <c r="AP75" s="1">
        <v>-611.66999999999996</v>
      </c>
      <c r="AQ75" s="1">
        <v>-1626.76</v>
      </c>
      <c r="AR75" s="1">
        <v>0</v>
      </c>
      <c r="AS75" s="1">
        <v>-1626.76</v>
      </c>
      <c r="AT75" s="1">
        <v>0</v>
      </c>
      <c r="BA75" s="195"/>
      <c r="BB75" s="195"/>
      <c r="BC75" s="195"/>
      <c r="BD75" s="195"/>
      <c r="BE75" s="195"/>
      <c r="BF75" s="195"/>
      <c r="BG75" s="195"/>
      <c r="BH75" s="195"/>
      <c r="BI75" s="195"/>
    </row>
    <row r="76" spans="1:61" x14ac:dyDescent="0.25">
      <c r="A76" t="s">
        <v>343</v>
      </c>
      <c r="B76" t="s">
        <v>344</v>
      </c>
      <c r="C76" t="s">
        <v>345</v>
      </c>
      <c r="D76" t="s">
        <v>346</v>
      </c>
      <c r="E76" t="s">
        <v>487</v>
      </c>
      <c r="F76" t="s">
        <v>75</v>
      </c>
      <c r="G76" t="s">
        <v>488</v>
      </c>
      <c r="H76" t="s">
        <v>489</v>
      </c>
      <c r="I76" t="s">
        <v>502</v>
      </c>
      <c r="J76" t="s">
        <v>503</v>
      </c>
      <c r="AG76" t="s">
        <v>543</v>
      </c>
      <c r="AH76" t="s">
        <v>544</v>
      </c>
      <c r="AI76" t="s">
        <v>353</v>
      </c>
      <c r="AJ76" t="s">
        <v>502</v>
      </c>
      <c r="AK76" s="1">
        <v>-3981.45</v>
      </c>
      <c r="AL76" s="1">
        <v>0</v>
      </c>
      <c r="AM76" s="1">
        <v>-3981.45</v>
      </c>
      <c r="AN76" s="1">
        <v>-1327.15</v>
      </c>
      <c r="AO76" s="1">
        <v>0</v>
      </c>
      <c r="AP76" s="1">
        <v>-1327.15</v>
      </c>
      <c r="AQ76" s="1">
        <v>-1393.22</v>
      </c>
      <c r="AR76" s="1">
        <v>0</v>
      </c>
      <c r="AS76" s="1">
        <v>-1393.22</v>
      </c>
      <c r="AT76" s="1">
        <v>0</v>
      </c>
      <c r="BA76" s="195"/>
      <c r="BB76" s="195"/>
      <c r="BC76" s="195"/>
      <c r="BD76" s="195"/>
      <c r="BE76" s="195"/>
      <c r="BF76" s="195"/>
      <c r="BG76" s="195"/>
      <c r="BH76" s="195"/>
      <c r="BI76" s="195"/>
    </row>
    <row r="77" spans="1:61" x14ac:dyDescent="0.25">
      <c r="A77" t="s">
        <v>343</v>
      </c>
      <c r="B77" t="s">
        <v>344</v>
      </c>
      <c r="C77" t="s">
        <v>345</v>
      </c>
      <c r="D77" t="s">
        <v>346</v>
      </c>
      <c r="E77" t="s">
        <v>487</v>
      </c>
      <c r="F77" t="s">
        <v>75</v>
      </c>
      <c r="G77" t="s">
        <v>488</v>
      </c>
      <c r="H77" t="s">
        <v>489</v>
      </c>
      <c r="I77" t="s">
        <v>502</v>
      </c>
      <c r="J77" t="s">
        <v>503</v>
      </c>
      <c r="AG77" t="s">
        <v>545</v>
      </c>
      <c r="AH77" t="s">
        <v>546</v>
      </c>
      <c r="AI77" t="s">
        <v>353</v>
      </c>
      <c r="AJ77" t="s">
        <v>502</v>
      </c>
      <c r="AK77" s="1">
        <v>-94455.39</v>
      </c>
      <c r="AL77" s="1">
        <v>0</v>
      </c>
      <c r="AM77" s="1">
        <v>-94455.39</v>
      </c>
      <c r="AN77" s="1">
        <v>-31485.13</v>
      </c>
      <c r="AO77" s="1">
        <v>0</v>
      </c>
      <c r="AP77" s="1">
        <v>-31485.13</v>
      </c>
      <c r="AQ77" s="1">
        <v>-50953.3</v>
      </c>
      <c r="AR77" s="1">
        <v>0</v>
      </c>
      <c r="AS77" s="1">
        <v>-50953.3</v>
      </c>
      <c r="AT77" s="1">
        <v>0</v>
      </c>
      <c r="BA77" s="195"/>
      <c r="BB77" s="195"/>
      <c r="BC77" s="195"/>
      <c r="BD77" s="195"/>
      <c r="BE77" s="195"/>
      <c r="BF77" s="195"/>
      <c r="BG77" s="195"/>
      <c r="BH77" s="195"/>
      <c r="BI77" s="195"/>
    </row>
    <row r="78" spans="1:61" x14ac:dyDescent="0.25">
      <c r="A78" t="s">
        <v>343</v>
      </c>
      <c r="B78" t="s">
        <v>344</v>
      </c>
      <c r="C78" t="s">
        <v>345</v>
      </c>
      <c r="D78" t="s">
        <v>346</v>
      </c>
      <c r="E78" t="s">
        <v>487</v>
      </c>
      <c r="F78" t="s">
        <v>75</v>
      </c>
      <c r="G78" t="s">
        <v>488</v>
      </c>
      <c r="H78" t="s">
        <v>489</v>
      </c>
      <c r="I78" t="s">
        <v>502</v>
      </c>
      <c r="J78" t="s">
        <v>503</v>
      </c>
      <c r="AG78" t="s">
        <v>547</v>
      </c>
      <c r="AH78" t="s">
        <v>548</v>
      </c>
      <c r="AI78" t="s">
        <v>353</v>
      </c>
      <c r="AJ78" t="s">
        <v>502</v>
      </c>
      <c r="AK78" s="1">
        <v>-899132.82</v>
      </c>
      <c r="AL78" s="1">
        <v>0</v>
      </c>
      <c r="AM78" s="1">
        <v>-899132.82</v>
      </c>
      <c r="AN78" s="1">
        <v>-299710.94</v>
      </c>
      <c r="AO78" s="1">
        <v>0</v>
      </c>
      <c r="AP78" s="1">
        <v>-299710.94</v>
      </c>
      <c r="AQ78" s="1">
        <v>-296476</v>
      </c>
      <c r="AR78" s="1">
        <v>0</v>
      </c>
      <c r="AS78" s="1">
        <v>-296476</v>
      </c>
      <c r="AT78" s="1">
        <v>0</v>
      </c>
      <c r="BA78" s="195"/>
      <c r="BB78" s="195"/>
      <c r="BC78" s="195"/>
      <c r="BD78" s="195"/>
      <c r="BE78" s="195"/>
      <c r="BF78" s="195"/>
      <c r="BG78" s="195"/>
      <c r="BH78" s="195"/>
      <c r="BI78" s="195"/>
    </row>
    <row r="79" spans="1:61" x14ac:dyDescent="0.25">
      <c r="A79" t="s">
        <v>343</v>
      </c>
      <c r="B79" t="s">
        <v>344</v>
      </c>
      <c r="C79" t="s">
        <v>345</v>
      </c>
      <c r="D79" t="s">
        <v>346</v>
      </c>
      <c r="E79" t="s">
        <v>487</v>
      </c>
      <c r="F79" t="s">
        <v>75</v>
      </c>
      <c r="G79" t="s">
        <v>488</v>
      </c>
      <c r="H79" t="s">
        <v>489</v>
      </c>
      <c r="I79" t="s">
        <v>502</v>
      </c>
      <c r="J79" t="s">
        <v>503</v>
      </c>
      <c r="AG79" t="s">
        <v>549</v>
      </c>
      <c r="AH79" t="s">
        <v>550</v>
      </c>
      <c r="AI79" t="s">
        <v>353</v>
      </c>
      <c r="AJ79" t="s">
        <v>502</v>
      </c>
      <c r="AK79" s="1">
        <v>-183329.85</v>
      </c>
      <c r="AL79" s="1">
        <v>0</v>
      </c>
      <c r="AM79" s="1">
        <v>-183329.85</v>
      </c>
      <c r="AN79" s="1">
        <v>-61109.95</v>
      </c>
      <c r="AO79" s="1">
        <v>0</v>
      </c>
      <c r="AP79" s="1">
        <v>-61109.95</v>
      </c>
      <c r="AQ79" s="1">
        <v>-49626.14</v>
      </c>
      <c r="AR79" s="1">
        <v>0</v>
      </c>
      <c r="AS79" s="1">
        <v>-49626.14</v>
      </c>
      <c r="AT79" s="1">
        <v>0</v>
      </c>
      <c r="BA79" s="195"/>
      <c r="BB79" s="195"/>
      <c r="BC79" s="195"/>
      <c r="BD79" s="195"/>
      <c r="BE79" s="195"/>
      <c r="BF79" s="195"/>
      <c r="BG79" s="195"/>
      <c r="BH79" s="195"/>
      <c r="BI79" s="195"/>
    </row>
    <row r="80" spans="1:61" x14ac:dyDescent="0.25">
      <c r="A80" t="s">
        <v>343</v>
      </c>
      <c r="B80" t="s">
        <v>344</v>
      </c>
      <c r="C80" t="s">
        <v>345</v>
      </c>
      <c r="D80" t="s">
        <v>346</v>
      </c>
      <c r="E80" t="s">
        <v>487</v>
      </c>
      <c r="F80" t="s">
        <v>75</v>
      </c>
      <c r="G80" t="s">
        <v>488</v>
      </c>
      <c r="H80" t="s">
        <v>489</v>
      </c>
      <c r="I80" t="s">
        <v>502</v>
      </c>
      <c r="J80" t="s">
        <v>503</v>
      </c>
      <c r="AG80" t="s">
        <v>551</v>
      </c>
      <c r="AH80" t="s">
        <v>552</v>
      </c>
      <c r="AI80" t="s">
        <v>353</v>
      </c>
      <c r="AJ80" t="s">
        <v>502</v>
      </c>
      <c r="AK80" s="1">
        <v>-86583.33</v>
      </c>
      <c r="AL80" s="1">
        <v>0</v>
      </c>
      <c r="AM80" s="1">
        <v>-86583.33</v>
      </c>
      <c r="AN80" s="1">
        <v>-28861.11</v>
      </c>
      <c r="AO80" s="1">
        <v>0</v>
      </c>
      <c r="AP80" s="1">
        <v>-28861.11</v>
      </c>
      <c r="AQ80" s="1">
        <v>-25932.23</v>
      </c>
      <c r="AR80" s="1">
        <v>0</v>
      </c>
      <c r="AS80" s="1">
        <v>-25932.23</v>
      </c>
      <c r="AT80" s="1">
        <v>0</v>
      </c>
      <c r="BA80" s="195"/>
      <c r="BB80" s="195"/>
      <c r="BC80" s="195"/>
      <c r="BD80" s="195"/>
      <c r="BE80" s="195"/>
      <c r="BF80" s="195"/>
      <c r="BG80" s="195"/>
      <c r="BH80" s="195"/>
      <c r="BI80" s="195"/>
    </row>
    <row r="81" spans="1:61" x14ac:dyDescent="0.25">
      <c r="A81" t="s">
        <v>343</v>
      </c>
      <c r="B81" t="s">
        <v>344</v>
      </c>
      <c r="C81" t="s">
        <v>345</v>
      </c>
      <c r="D81" t="s">
        <v>346</v>
      </c>
      <c r="E81" t="s">
        <v>487</v>
      </c>
      <c r="F81" t="s">
        <v>75</v>
      </c>
      <c r="G81" t="s">
        <v>488</v>
      </c>
      <c r="H81" t="s">
        <v>489</v>
      </c>
      <c r="I81" t="s">
        <v>502</v>
      </c>
      <c r="J81" t="s">
        <v>503</v>
      </c>
      <c r="AG81" t="s">
        <v>553</v>
      </c>
      <c r="AH81" t="s">
        <v>554</v>
      </c>
      <c r="AI81" t="s">
        <v>353</v>
      </c>
      <c r="AJ81" t="s">
        <v>502</v>
      </c>
      <c r="AK81" s="1">
        <v>-87083.49</v>
      </c>
      <c r="AL81" s="1">
        <v>0</v>
      </c>
      <c r="AM81" s="1">
        <v>-87083.49</v>
      </c>
      <c r="AN81" s="1">
        <v>-29027.83</v>
      </c>
      <c r="AO81" s="1">
        <v>0</v>
      </c>
      <c r="AP81" s="1">
        <v>-29027.83</v>
      </c>
      <c r="AQ81" s="1">
        <v>-32646.49</v>
      </c>
      <c r="AR81" s="1">
        <v>0</v>
      </c>
      <c r="AS81" s="1">
        <v>-32646.49</v>
      </c>
      <c r="AT81" s="1">
        <v>0</v>
      </c>
      <c r="BA81" s="195"/>
      <c r="BB81" s="195"/>
      <c r="BC81" s="195"/>
      <c r="BD81" s="195"/>
      <c r="BE81" s="195"/>
      <c r="BF81" s="195"/>
      <c r="BG81" s="195"/>
      <c r="BH81" s="195"/>
      <c r="BI81" s="195"/>
    </row>
    <row r="82" spans="1:61" x14ac:dyDescent="0.25">
      <c r="A82" t="s">
        <v>343</v>
      </c>
      <c r="B82" t="s">
        <v>344</v>
      </c>
      <c r="C82" t="s">
        <v>345</v>
      </c>
      <c r="D82" t="s">
        <v>346</v>
      </c>
      <c r="E82" t="s">
        <v>487</v>
      </c>
      <c r="F82" t="s">
        <v>75</v>
      </c>
      <c r="G82" t="s">
        <v>488</v>
      </c>
      <c r="H82" t="s">
        <v>489</v>
      </c>
      <c r="I82" t="s">
        <v>502</v>
      </c>
      <c r="J82" t="s">
        <v>503</v>
      </c>
      <c r="AG82" t="s">
        <v>555</v>
      </c>
      <c r="AH82" t="s">
        <v>556</v>
      </c>
      <c r="AI82" t="s">
        <v>353</v>
      </c>
      <c r="AJ82" t="s">
        <v>502</v>
      </c>
      <c r="AK82" s="1">
        <v>-12140.58</v>
      </c>
      <c r="AL82" s="1">
        <v>0</v>
      </c>
      <c r="AM82" s="1">
        <v>-12140.58</v>
      </c>
      <c r="AN82" s="1">
        <v>-4046.86</v>
      </c>
      <c r="AO82" s="1">
        <v>0</v>
      </c>
      <c r="AP82" s="1">
        <v>-4046.86</v>
      </c>
      <c r="AQ82" s="1">
        <v>-5082.3599999999997</v>
      </c>
      <c r="AR82" s="1">
        <v>0</v>
      </c>
      <c r="AS82" s="1">
        <v>-5082.3599999999997</v>
      </c>
      <c r="AT82" s="1">
        <v>0</v>
      </c>
      <c r="BA82" s="195"/>
      <c r="BB82" s="195"/>
      <c r="BC82" s="195"/>
      <c r="BD82" s="195"/>
      <c r="BE82" s="195"/>
      <c r="BF82" s="195"/>
      <c r="BG82" s="195"/>
      <c r="BH82" s="195"/>
      <c r="BI82" s="195"/>
    </row>
    <row r="83" spans="1:61" x14ac:dyDescent="0.25">
      <c r="A83" t="s">
        <v>343</v>
      </c>
      <c r="B83" t="s">
        <v>344</v>
      </c>
      <c r="C83" t="s">
        <v>345</v>
      </c>
      <c r="D83" t="s">
        <v>346</v>
      </c>
      <c r="E83" t="s">
        <v>487</v>
      </c>
      <c r="F83" t="s">
        <v>75</v>
      </c>
      <c r="G83" t="s">
        <v>488</v>
      </c>
      <c r="H83" t="s">
        <v>489</v>
      </c>
      <c r="I83" t="s">
        <v>502</v>
      </c>
      <c r="J83" t="s">
        <v>503</v>
      </c>
      <c r="AG83" t="s">
        <v>557</v>
      </c>
      <c r="AH83" t="s">
        <v>558</v>
      </c>
      <c r="AI83" t="s">
        <v>353</v>
      </c>
      <c r="AJ83" t="s">
        <v>502</v>
      </c>
      <c r="AK83" s="1">
        <v>-15270</v>
      </c>
      <c r="AL83" s="1">
        <v>0</v>
      </c>
      <c r="AM83" s="1">
        <v>-15270</v>
      </c>
      <c r="AN83" s="1">
        <v>-5090</v>
      </c>
      <c r="AO83" s="1">
        <v>0</v>
      </c>
      <c r="AP83" s="1">
        <v>-5090</v>
      </c>
      <c r="AQ83" s="1">
        <v>-908.88</v>
      </c>
      <c r="AR83" s="1">
        <v>0</v>
      </c>
      <c r="AS83" s="1">
        <v>-908.88</v>
      </c>
      <c r="AT83" s="1">
        <v>0</v>
      </c>
      <c r="BA83" s="195"/>
      <c r="BB83" s="195"/>
      <c r="BC83" s="195"/>
      <c r="BD83" s="195"/>
      <c r="BE83" s="195"/>
      <c r="BF83" s="195"/>
      <c r="BG83" s="195"/>
      <c r="BH83" s="195"/>
      <c r="BI83" s="195"/>
    </row>
    <row r="84" spans="1:61" x14ac:dyDescent="0.25">
      <c r="A84" t="s">
        <v>343</v>
      </c>
      <c r="B84" t="s">
        <v>344</v>
      </c>
      <c r="C84" t="s">
        <v>345</v>
      </c>
      <c r="D84" t="s">
        <v>346</v>
      </c>
      <c r="E84" t="s">
        <v>487</v>
      </c>
      <c r="F84" t="s">
        <v>75</v>
      </c>
      <c r="G84" t="s">
        <v>488</v>
      </c>
      <c r="H84" t="s">
        <v>489</v>
      </c>
      <c r="I84" t="s">
        <v>502</v>
      </c>
      <c r="J84" t="s">
        <v>503</v>
      </c>
      <c r="AG84" t="s">
        <v>559</v>
      </c>
      <c r="AH84" t="s">
        <v>560</v>
      </c>
      <c r="AI84" t="s">
        <v>353</v>
      </c>
      <c r="AJ84" t="s">
        <v>502</v>
      </c>
      <c r="AK84" s="1">
        <v>-56491.38</v>
      </c>
      <c r="AL84" s="1">
        <v>0</v>
      </c>
      <c r="AM84" s="1">
        <v>-56491.38</v>
      </c>
      <c r="AN84" s="1">
        <v>-18830.46</v>
      </c>
      <c r="AO84" s="1">
        <v>0</v>
      </c>
      <c r="AP84" s="1">
        <v>-18830.46</v>
      </c>
      <c r="AQ84" s="1">
        <v>-31471.87</v>
      </c>
      <c r="AR84" s="1">
        <v>0</v>
      </c>
      <c r="AS84" s="1">
        <v>-31471.87</v>
      </c>
      <c r="AT84" s="1">
        <v>0</v>
      </c>
      <c r="BA84" s="195"/>
      <c r="BB84" s="195"/>
      <c r="BC84" s="195"/>
      <c r="BD84" s="195"/>
      <c r="BE84" s="195"/>
      <c r="BF84" s="195"/>
      <c r="BG84" s="195"/>
      <c r="BH84" s="195"/>
      <c r="BI84" s="195"/>
    </row>
    <row r="85" spans="1:61" x14ac:dyDescent="0.25">
      <c r="A85" t="s">
        <v>343</v>
      </c>
      <c r="B85" t="s">
        <v>344</v>
      </c>
      <c r="C85" t="s">
        <v>345</v>
      </c>
      <c r="D85" t="s">
        <v>346</v>
      </c>
      <c r="E85" t="s">
        <v>487</v>
      </c>
      <c r="F85" t="s">
        <v>75</v>
      </c>
      <c r="G85" t="s">
        <v>488</v>
      </c>
      <c r="H85" t="s">
        <v>489</v>
      </c>
      <c r="I85" t="s">
        <v>502</v>
      </c>
      <c r="J85" t="s">
        <v>503</v>
      </c>
      <c r="AG85" t="s">
        <v>561</v>
      </c>
      <c r="AH85" t="s">
        <v>562</v>
      </c>
      <c r="AI85" t="s">
        <v>353</v>
      </c>
      <c r="AJ85" t="s">
        <v>502</v>
      </c>
      <c r="AK85" s="1">
        <v>-11192.34</v>
      </c>
      <c r="AL85" s="1">
        <v>0</v>
      </c>
      <c r="AM85" s="1">
        <v>-11192.34</v>
      </c>
      <c r="AN85" s="1">
        <v>-3730.78</v>
      </c>
      <c r="AO85" s="1">
        <v>0</v>
      </c>
      <c r="AP85" s="1">
        <v>-3730.78</v>
      </c>
      <c r="AQ85" s="1">
        <v>-6371.64</v>
      </c>
      <c r="AR85" s="1">
        <v>0</v>
      </c>
      <c r="AS85" s="1">
        <v>-6371.64</v>
      </c>
      <c r="AT85" s="1">
        <v>0</v>
      </c>
      <c r="BA85" s="195"/>
      <c r="BB85" s="195"/>
      <c r="BC85" s="195"/>
      <c r="BD85" s="195"/>
      <c r="BE85" s="195"/>
      <c r="BF85" s="195"/>
      <c r="BG85" s="195"/>
      <c r="BH85" s="195"/>
      <c r="BI85" s="195"/>
    </row>
    <row r="86" spans="1:61" x14ac:dyDescent="0.25">
      <c r="A86" t="s">
        <v>343</v>
      </c>
      <c r="B86" t="s">
        <v>344</v>
      </c>
      <c r="C86" t="s">
        <v>345</v>
      </c>
      <c r="D86" t="s">
        <v>346</v>
      </c>
      <c r="E86" t="s">
        <v>487</v>
      </c>
      <c r="F86" t="s">
        <v>75</v>
      </c>
      <c r="G86" t="s">
        <v>488</v>
      </c>
      <c r="H86" t="s">
        <v>489</v>
      </c>
      <c r="I86" t="s">
        <v>502</v>
      </c>
      <c r="J86" t="s">
        <v>503</v>
      </c>
      <c r="AG86" t="s">
        <v>563</v>
      </c>
      <c r="AH86" t="s">
        <v>564</v>
      </c>
      <c r="AI86" t="s">
        <v>353</v>
      </c>
      <c r="AJ86" t="s">
        <v>502</v>
      </c>
      <c r="AK86" s="1">
        <v>-150438.15</v>
      </c>
      <c r="AL86" s="1">
        <v>0</v>
      </c>
      <c r="AM86" s="1">
        <v>-150438.15</v>
      </c>
      <c r="AN86" s="1">
        <v>-50146.05</v>
      </c>
      <c r="AO86" s="1">
        <v>0</v>
      </c>
      <c r="AP86" s="1">
        <v>-50146.05</v>
      </c>
      <c r="AQ86" s="1">
        <v>-44704.03</v>
      </c>
      <c r="AR86" s="1">
        <v>0</v>
      </c>
      <c r="AS86" s="1">
        <v>-44704.03</v>
      </c>
      <c r="AT86" s="1">
        <v>0</v>
      </c>
      <c r="BA86" s="195"/>
      <c r="BB86" s="195"/>
      <c r="BC86" s="195"/>
      <c r="BD86" s="195"/>
      <c r="BE86" s="195"/>
      <c r="BF86" s="195"/>
      <c r="BG86" s="195"/>
      <c r="BH86" s="195"/>
      <c r="BI86" s="195"/>
    </row>
    <row r="87" spans="1:61" x14ac:dyDescent="0.25">
      <c r="A87" t="s">
        <v>343</v>
      </c>
      <c r="B87" t="s">
        <v>344</v>
      </c>
      <c r="C87" t="s">
        <v>345</v>
      </c>
      <c r="D87" t="s">
        <v>346</v>
      </c>
      <c r="E87" t="s">
        <v>487</v>
      </c>
      <c r="F87" t="s">
        <v>75</v>
      </c>
      <c r="G87" t="s">
        <v>488</v>
      </c>
      <c r="H87" t="s">
        <v>489</v>
      </c>
      <c r="I87" t="s">
        <v>502</v>
      </c>
      <c r="J87" t="s">
        <v>503</v>
      </c>
      <c r="AG87" t="s">
        <v>565</v>
      </c>
      <c r="AH87" t="s">
        <v>566</v>
      </c>
      <c r="AI87" t="s">
        <v>353</v>
      </c>
      <c r="AJ87" t="s">
        <v>502</v>
      </c>
      <c r="AK87" s="1">
        <v>-29348.7</v>
      </c>
      <c r="AL87" s="1">
        <v>0</v>
      </c>
      <c r="AM87" s="1">
        <v>-29348.7</v>
      </c>
      <c r="AN87" s="1">
        <v>-9782.9</v>
      </c>
      <c r="AO87" s="1">
        <v>0</v>
      </c>
      <c r="AP87" s="1">
        <v>-9782.9</v>
      </c>
      <c r="AQ87" s="1">
        <v>-14953.87</v>
      </c>
      <c r="AR87" s="1">
        <v>0</v>
      </c>
      <c r="AS87" s="1">
        <v>-14953.87</v>
      </c>
      <c r="AT87" s="1">
        <v>0</v>
      </c>
      <c r="BA87" s="195"/>
      <c r="BB87" s="195"/>
      <c r="BC87" s="195"/>
      <c r="BD87" s="195"/>
      <c r="BE87" s="195"/>
      <c r="BF87" s="195"/>
      <c r="BG87" s="195"/>
      <c r="BH87" s="195"/>
      <c r="BI87" s="195"/>
    </row>
    <row r="88" spans="1:61" x14ac:dyDescent="0.25">
      <c r="A88" t="s">
        <v>343</v>
      </c>
      <c r="B88" t="s">
        <v>344</v>
      </c>
      <c r="C88" t="s">
        <v>345</v>
      </c>
      <c r="D88" t="s">
        <v>346</v>
      </c>
      <c r="E88" t="s">
        <v>487</v>
      </c>
      <c r="F88" t="s">
        <v>75</v>
      </c>
      <c r="G88" t="s">
        <v>488</v>
      </c>
      <c r="H88" t="s">
        <v>489</v>
      </c>
      <c r="I88" t="s">
        <v>502</v>
      </c>
      <c r="J88" t="s">
        <v>503</v>
      </c>
      <c r="AG88" t="s">
        <v>567</v>
      </c>
      <c r="AH88" t="s">
        <v>568</v>
      </c>
      <c r="AI88" t="s">
        <v>353</v>
      </c>
      <c r="AJ88" t="s">
        <v>502</v>
      </c>
      <c r="AK88" s="1">
        <v>-20100</v>
      </c>
      <c r="AL88" s="1">
        <v>0</v>
      </c>
      <c r="AM88" s="1">
        <v>-20100</v>
      </c>
      <c r="AN88" s="1">
        <v>-6700</v>
      </c>
      <c r="AO88" s="1">
        <v>0</v>
      </c>
      <c r="AP88" s="1">
        <v>-6700</v>
      </c>
      <c r="AQ88" s="1">
        <v>-4904</v>
      </c>
      <c r="AR88" s="1">
        <v>0</v>
      </c>
      <c r="AS88" s="1">
        <v>-4904</v>
      </c>
      <c r="AT88" s="1">
        <v>0</v>
      </c>
      <c r="BA88" s="195"/>
      <c r="BB88" s="195"/>
      <c r="BC88" s="195"/>
      <c r="BD88" s="195"/>
      <c r="BE88" s="195"/>
      <c r="BF88" s="195"/>
      <c r="BG88" s="195"/>
      <c r="BH88" s="195"/>
      <c r="BI88" s="195"/>
    </row>
    <row r="89" spans="1:61" x14ac:dyDescent="0.25">
      <c r="A89" t="s">
        <v>343</v>
      </c>
      <c r="B89" t="s">
        <v>344</v>
      </c>
      <c r="C89" t="s">
        <v>345</v>
      </c>
      <c r="D89" t="s">
        <v>346</v>
      </c>
      <c r="E89" t="s">
        <v>487</v>
      </c>
      <c r="F89" t="s">
        <v>75</v>
      </c>
      <c r="G89" t="s">
        <v>488</v>
      </c>
      <c r="H89" t="s">
        <v>489</v>
      </c>
      <c r="I89" t="s">
        <v>502</v>
      </c>
      <c r="J89" t="s">
        <v>503</v>
      </c>
      <c r="AG89" t="s">
        <v>569</v>
      </c>
      <c r="AH89" t="s">
        <v>570</v>
      </c>
      <c r="AI89" t="s">
        <v>353</v>
      </c>
      <c r="AJ89" t="s">
        <v>502</v>
      </c>
      <c r="AK89" s="1">
        <v>-36248.25</v>
      </c>
      <c r="AL89" s="1">
        <v>0</v>
      </c>
      <c r="AM89" s="1">
        <v>-36248.25</v>
      </c>
      <c r="AN89" s="1">
        <v>-12082.75</v>
      </c>
      <c r="AO89" s="1">
        <v>0</v>
      </c>
      <c r="AP89" s="1">
        <v>-12082.75</v>
      </c>
      <c r="AQ89" s="1">
        <v>-45299</v>
      </c>
      <c r="AR89" s="1">
        <v>0</v>
      </c>
      <c r="AS89" s="1">
        <v>-45299</v>
      </c>
      <c r="AT89" s="1">
        <v>0</v>
      </c>
      <c r="BA89" s="195"/>
      <c r="BB89" s="195"/>
      <c r="BC89" s="195"/>
      <c r="BD89" s="195"/>
      <c r="BE89" s="195"/>
      <c r="BF89" s="195"/>
      <c r="BG89" s="195"/>
      <c r="BH89" s="195"/>
      <c r="BI89" s="195"/>
    </row>
    <row r="90" spans="1:61" x14ac:dyDescent="0.25">
      <c r="A90" t="s">
        <v>343</v>
      </c>
      <c r="B90" t="s">
        <v>344</v>
      </c>
      <c r="C90" t="s">
        <v>345</v>
      </c>
      <c r="D90" t="s">
        <v>346</v>
      </c>
      <c r="E90" t="s">
        <v>487</v>
      </c>
      <c r="F90" t="s">
        <v>75</v>
      </c>
      <c r="G90" t="s">
        <v>488</v>
      </c>
      <c r="H90" t="s">
        <v>489</v>
      </c>
      <c r="I90" t="s">
        <v>502</v>
      </c>
      <c r="J90" t="s">
        <v>503</v>
      </c>
      <c r="AG90" t="s">
        <v>571</v>
      </c>
      <c r="AH90" t="s">
        <v>572</v>
      </c>
      <c r="AI90" t="s">
        <v>353</v>
      </c>
      <c r="AJ90" t="s">
        <v>502</v>
      </c>
      <c r="AK90" s="1">
        <v>-79968</v>
      </c>
      <c r="AL90" s="1">
        <v>0</v>
      </c>
      <c r="AM90" s="1">
        <v>-79968</v>
      </c>
      <c r="AN90" s="1">
        <v>-26656</v>
      </c>
      <c r="AO90" s="1">
        <v>0</v>
      </c>
      <c r="AP90" s="1">
        <v>-26656</v>
      </c>
      <c r="AQ90" s="1">
        <v>-39966.550000000003</v>
      </c>
      <c r="AR90" s="1">
        <v>0</v>
      </c>
      <c r="AS90" s="1">
        <v>-39966.550000000003</v>
      </c>
      <c r="AT90" s="1">
        <v>0</v>
      </c>
      <c r="BA90" s="195"/>
      <c r="BB90" s="195"/>
      <c r="BC90" s="195"/>
      <c r="BD90" s="195"/>
      <c r="BE90" s="195"/>
      <c r="BF90" s="195"/>
      <c r="BG90" s="195"/>
      <c r="BH90" s="195"/>
      <c r="BI90" s="195"/>
    </row>
    <row r="91" spans="1:61" x14ac:dyDescent="0.25">
      <c r="A91" t="s">
        <v>343</v>
      </c>
      <c r="B91" t="s">
        <v>344</v>
      </c>
      <c r="C91" t="s">
        <v>345</v>
      </c>
      <c r="D91" t="s">
        <v>346</v>
      </c>
      <c r="E91" t="s">
        <v>487</v>
      </c>
      <c r="F91" t="s">
        <v>75</v>
      </c>
      <c r="G91" t="s">
        <v>488</v>
      </c>
      <c r="H91" t="s">
        <v>489</v>
      </c>
      <c r="I91" t="s">
        <v>502</v>
      </c>
      <c r="J91" t="s">
        <v>503</v>
      </c>
      <c r="AG91" t="s">
        <v>573</v>
      </c>
      <c r="AH91" t="s">
        <v>574</v>
      </c>
      <c r="AI91" t="s">
        <v>353</v>
      </c>
      <c r="AJ91" t="s">
        <v>502</v>
      </c>
      <c r="AK91" s="1">
        <v>-22140.9</v>
      </c>
      <c r="AL91" s="1">
        <v>0</v>
      </c>
      <c r="AM91" s="1">
        <v>-22140.9</v>
      </c>
      <c r="AN91" s="1">
        <v>-7380.3</v>
      </c>
      <c r="AO91" s="1">
        <v>0</v>
      </c>
      <c r="AP91" s="1">
        <v>-7380.3</v>
      </c>
      <c r="AQ91" s="1">
        <v>-5299.69</v>
      </c>
      <c r="AR91" s="1">
        <v>0</v>
      </c>
      <c r="AS91" s="1">
        <v>-5299.69</v>
      </c>
      <c r="AT91" s="1">
        <v>0</v>
      </c>
      <c r="BA91" s="195"/>
      <c r="BB91" s="195"/>
      <c r="BC91" s="195"/>
      <c r="BD91" s="195"/>
      <c r="BE91" s="195"/>
      <c r="BF91" s="195"/>
      <c r="BG91" s="195"/>
      <c r="BH91" s="195"/>
      <c r="BI91" s="195"/>
    </row>
    <row r="92" spans="1:61" x14ac:dyDescent="0.25">
      <c r="A92" t="s">
        <v>343</v>
      </c>
      <c r="B92" t="s">
        <v>344</v>
      </c>
      <c r="C92" t="s">
        <v>345</v>
      </c>
      <c r="D92" t="s">
        <v>346</v>
      </c>
      <c r="E92" t="s">
        <v>487</v>
      </c>
      <c r="F92" t="s">
        <v>75</v>
      </c>
      <c r="G92" t="s">
        <v>488</v>
      </c>
      <c r="H92" t="s">
        <v>489</v>
      </c>
      <c r="I92" t="s">
        <v>502</v>
      </c>
      <c r="J92" t="s">
        <v>503</v>
      </c>
      <c r="AG92" t="s">
        <v>575</v>
      </c>
      <c r="AH92" t="s">
        <v>576</v>
      </c>
      <c r="AI92" t="s">
        <v>353</v>
      </c>
      <c r="AJ92" t="s">
        <v>502</v>
      </c>
      <c r="AK92" s="1">
        <v>-11077.08</v>
      </c>
      <c r="AL92" s="1">
        <v>0</v>
      </c>
      <c r="AM92" s="1">
        <v>-11077.08</v>
      </c>
      <c r="AN92" s="1">
        <v>-3692.36</v>
      </c>
      <c r="AO92" s="1">
        <v>0</v>
      </c>
      <c r="AP92" s="1">
        <v>-3692.36</v>
      </c>
      <c r="AQ92" s="1">
        <v>-3270.41</v>
      </c>
      <c r="AR92" s="1">
        <v>0</v>
      </c>
      <c r="AS92" s="1">
        <v>-3270.41</v>
      </c>
      <c r="AT92" s="1">
        <v>0</v>
      </c>
      <c r="BA92" s="195"/>
      <c r="BB92" s="195"/>
      <c r="BC92" s="195"/>
      <c r="BD92" s="195"/>
      <c r="BE92" s="195"/>
      <c r="BF92" s="195"/>
      <c r="BG92" s="195"/>
      <c r="BH92" s="195"/>
      <c r="BI92" s="195"/>
    </row>
    <row r="93" spans="1:61" x14ac:dyDescent="0.25">
      <c r="A93" t="s">
        <v>343</v>
      </c>
      <c r="B93" t="s">
        <v>344</v>
      </c>
      <c r="C93" t="s">
        <v>345</v>
      </c>
      <c r="D93" t="s">
        <v>346</v>
      </c>
      <c r="E93" t="s">
        <v>487</v>
      </c>
      <c r="F93" t="s">
        <v>75</v>
      </c>
      <c r="G93" t="s">
        <v>488</v>
      </c>
      <c r="H93" t="s">
        <v>489</v>
      </c>
      <c r="I93" t="s">
        <v>502</v>
      </c>
      <c r="J93" t="s">
        <v>503</v>
      </c>
      <c r="AG93" t="s">
        <v>577</v>
      </c>
      <c r="AH93" t="s">
        <v>578</v>
      </c>
      <c r="AI93" t="s">
        <v>353</v>
      </c>
      <c r="AJ93" t="s">
        <v>502</v>
      </c>
      <c r="AK93" s="1">
        <v>-38958</v>
      </c>
      <c r="AL93" s="1">
        <v>0</v>
      </c>
      <c r="AM93" s="1">
        <v>-38958</v>
      </c>
      <c r="AN93" s="1">
        <v>-12986</v>
      </c>
      <c r="AO93" s="1">
        <v>0</v>
      </c>
      <c r="AP93" s="1">
        <v>-12986</v>
      </c>
      <c r="AQ93" s="1">
        <v>-24108.06</v>
      </c>
      <c r="AR93" s="1">
        <v>0</v>
      </c>
      <c r="AS93" s="1">
        <v>-24108.06</v>
      </c>
      <c r="AT93" s="1">
        <v>0</v>
      </c>
      <c r="BA93" s="195"/>
      <c r="BB93" s="195"/>
      <c r="BC93" s="195"/>
      <c r="BD93" s="195"/>
      <c r="BE93" s="195"/>
      <c r="BF93" s="195"/>
      <c r="BG93" s="195"/>
      <c r="BH93" s="195"/>
      <c r="BI93" s="195"/>
    </row>
    <row r="94" spans="1:61" x14ac:dyDescent="0.25">
      <c r="A94" t="s">
        <v>343</v>
      </c>
      <c r="B94" t="s">
        <v>344</v>
      </c>
      <c r="C94" t="s">
        <v>345</v>
      </c>
      <c r="D94" t="s">
        <v>346</v>
      </c>
      <c r="E94" t="s">
        <v>487</v>
      </c>
      <c r="F94" t="s">
        <v>75</v>
      </c>
      <c r="G94" t="s">
        <v>488</v>
      </c>
      <c r="H94" t="s">
        <v>489</v>
      </c>
      <c r="I94" t="s">
        <v>502</v>
      </c>
      <c r="J94" t="s">
        <v>503</v>
      </c>
      <c r="AG94" t="s">
        <v>579</v>
      </c>
      <c r="AH94" t="s">
        <v>580</v>
      </c>
      <c r="AI94" t="s">
        <v>353</v>
      </c>
      <c r="AJ94" t="s">
        <v>502</v>
      </c>
      <c r="AK94" s="1">
        <v>-6505.74</v>
      </c>
      <c r="AL94" s="1">
        <v>0</v>
      </c>
      <c r="AM94" s="1">
        <v>-6505.74</v>
      </c>
      <c r="AN94" s="1">
        <v>-2168.58</v>
      </c>
      <c r="AO94" s="1">
        <v>0</v>
      </c>
      <c r="AP94" s="1">
        <v>-2168.58</v>
      </c>
      <c r="AQ94" s="1">
        <v>-25475.62</v>
      </c>
      <c r="AR94" s="1">
        <v>0</v>
      </c>
      <c r="AS94" s="1">
        <v>-25475.62</v>
      </c>
      <c r="AT94" s="1">
        <v>0</v>
      </c>
      <c r="BA94" s="195"/>
      <c r="BB94" s="195"/>
      <c r="BC94" s="195"/>
      <c r="BD94" s="195"/>
      <c r="BE94" s="195"/>
      <c r="BF94" s="195"/>
      <c r="BG94" s="195"/>
      <c r="BH94" s="195"/>
      <c r="BI94" s="195"/>
    </row>
    <row r="95" spans="1:61" x14ac:dyDescent="0.25">
      <c r="A95" t="s">
        <v>343</v>
      </c>
      <c r="B95" t="s">
        <v>344</v>
      </c>
      <c r="C95" t="s">
        <v>345</v>
      </c>
      <c r="D95" t="s">
        <v>346</v>
      </c>
      <c r="E95" t="s">
        <v>487</v>
      </c>
      <c r="F95" t="s">
        <v>75</v>
      </c>
      <c r="G95" t="s">
        <v>488</v>
      </c>
      <c r="H95" t="s">
        <v>489</v>
      </c>
      <c r="I95" t="s">
        <v>502</v>
      </c>
      <c r="J95" t="s">
        <v>503</v>
      </c>
      <c r="AG95" t="s">
        <v>581</v>
      </c>
      <c r="AH95" t="s">
        <v>582</v>
      </c>
      <c r="AI95" t="s">
        <v>353</v>
      </c>
      <c r="AJ95" t="s">
        <v>502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-1154.6400000000001</v>
      </c>
      <c r="AR95" s="1">
        <v>0</v>
      </c>
      <c r="AS95" s="1">
        <v>-1154.6400000000001</v>
      </c>
      <c r="AT95" s="1">
        <v>0</v>
      </c>
      <c r="BA95" s="195"/>
      <c r="BB95" s="195"/>
      <c r="BC95" s="195"/>
      <c r="BD95" s="195"/>
      <c r="BE95" s="195"/>
      <c r="BF95" s="195"/>
      <c r="BG95" s="195"/>
      <c r="BH95" s="195"/>
      <c r="BI95" s="195"/>
    </row>
    <row r="96" spans="1:61" x14ac:dyDescent="0.25">
      <c r="A96" t="s">
        <v>343</v>
      </c>
      <c r="B96" t="s">
        <v>344</v>
      </c>
      <c r="C96" t="s">
        <v>345</v>
      </c>
      <c r="D96" t="s">
        <v>346</v>
      </c>
      <c r="E96" t="s">
        <v>487</v>
      </c>
      <c r="F96" t="s">
        <v>75</v>
      </c>
      <c r="G96" t="s">
        <v>488</v>
      </c>
      <c r="H96" t="s">
        <v>489</v>
      </c>
      <c r="I96" t="s">
        <v>502</v>
      </c>
      <c r="J96" t="s">
        <v>503</v>
      </c>
      <c r="AG96" t="s">
        <v>583</v>
      </c>
      <c r="AH96" t="s">
        <v>584</v>
      </c>
      <c r="AI96" t="s">
        <v>353</v>
      </c>
      <c r="AJ96" t="s">
        <v>502</v>
      </c>
      <c r="AK96" s="1">
        <v>-171255</v>
      </c>
      <c r="AL96" s="1">
        <v>0</v>
      </c>
      <c r="AM96" s="1">
        <v>-171255</v>
      </c>
      <c r="AN96" s="1">
        <v>-57085</v>
      </c>
      <c r="AO96" s="1">
        <v>0</v>
      </c>
      <c r="AP96" s="1">
        <v>-57085</v>
      </c>
      <c r="AQ96" s="1">
        <v>-193059.05</v>
      </c>
      <c r="AR96" s="1">
        <v>0</v>
      </c>
      <c r="AS96" s="1">
        <v>-193059.05</v>
      </c>
      <c r="AT96" s="1">
        <v>0</v>
      </c>
      <c r="BA96" s="195"/>
      <c r="BB96" s="195"/>
      <c r="BC96" s="195"/>
      <c r="BD96" s="195"/>
      <c r="BE96" s="195"/>
      <c r="BF96" s="195"/>
      <c r="BG96" s="195"/>
      <c r="BH96" s="195"/>
      <c r="BI96" s="195"/>
    </row>
    <row r="97" spans="1:61" x14ac:dyDescent="0.25">
      <c r="A97" t="s">
        <v>343</v>
      </c>
      <c r="B97" t="s">
        <v>344</v>
      </c>
      <c r="C97" t="s">
        <v>345</v>
      </c>
      <c r="D97" t="s">
        <v>346</v>
      </c>
      <c r="E97" t="s">
        <v>487</v>
      </c>
      <c r="F97" t="s">
        <v>75</v>
      </c>
      <c r="G97" t="s">
        <v>488</v>
      </c>
      <c r="H97" t="s">
        <v>489</v>
      </c>
      <c r="I97" t="s">
        <v>502</v>
      </c>
      <c r="J97" t="s">
        <v>503</v>
      </c>
      <c r="AG97" t="s">
        <v>585</v>
      </c>
      <c r="AH97" t="s">
        <v>586</v>
      </c>
      <c r="AI97" t="s">
        <v>353</v>
      </c>
      <c r="AJ97" t="s">
        <v>502</v>
      </c>
      <c r="AK97" s="1">
        <v>-126837.93</v>
      </c>
      <c r="AL97" s="1">
        <v>0</v>
      </c>
      <c r="AM97" s="1">
        <v>-126837.93</v>
      </c>
      <c r="AN97" s="1">
        <v>-42279.31</v>
      </c>
      <c r="AO97" s="1">
        <v>0</v>
      </c>
      <c r="AP97" s="1">
        <v>-42279.31</v>
      </c>
      <c r="AQ97" s="1">
        <v>-54369.33</v>
      </c>
      <c r="AR97" s="1">
        <v>0</v>
      </c>
      <c r="AS97" s="1">
        <v>-54369.33</v>
      </c>
      <c r="AT97" s="1">
        <v>0</v>
      </c>
      <c r="BA97" s="195"/>
      <c r="BB97" s="195"/>
      <c r="BC97" s="195"/>
      <c r="BD97" s="195"/>
      <c r="BE97" s="195"/>
      <c r="BF97" s="195"/>
      <c r="BG97" s="195"/>
      <c r="BH97" s="195"/>
      <c r="BI97" s="195"/>
    </row>
    <row r="98" spans="1:61" x14ac:dyDescent="0.25">
      <c r="A98" t="s">
        <v>343</v>
      </c>
      <c r="B98" t="s">
        <v>344</v>
      </c>
      <c r="C98" t="s">
        <v>345</v>
      </c>
      <c r="D98" t="s">
        <v>346</v>
      </c>
      <c r="E98" t="s">
        <v>487</v>
      </c>
      <c r="F98" t="s">
        <v>75</v>
      </c>
      <c r="G98" t="s">
        <v>488</v>
      </c>
      <c r="H98" t="s">
        <v>489</v>
      </c>
      <c r="I98" t="s">
        <v>502</v>
      </c>
      <c r="J98" t="s">
        <v>503</v>
      </c>
      <c r="AG98" t="s">
        <v>587</v>
      </c>
      <c r="AH98" t="s">
        <v>588</v>
      </c>
      <c r="AI98" t="s">
        <v>353</v>
      </c>
      <c r="AJ98" t="s">
        <v>502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754.86</v>
      </c>
      <c r="AR98" s="1">
        <v>0</v>
      </c>
      <c r="AS98" s="1">
        <v>754.86</v>
      </c>
      <c r="AT98" s="1">
        <v>0</v>
      </c>
      <c r="BA98" s="195"/>
      <c r="BB98" s="195"/>
      <c r="BC98" s="195"/>
      <c r="BD98" s="195"/>
      <c r="BE98" s="195"/>
      <c r="BF98" s="195"/>
      <c r="BG98" s="195"/>
      <c r="BH98" s="195"/>
      <c r="BI98" s="195"/>
    </row>
    <row r="99" spans="1:61" x14ac:dyDescent="0.25">
      <c r="A99" t="s">
        <v>343</v>
      </c>
      <c r="B99" t="s">
        <v>344</v>
      </c>
      <c r="C99" t="s">
        <v>345</v>
      </c>
      <c r="D99" t="s">
        <v>346</v>
      </c>
      <c r="E99" t="s">
        <v>487</v>
      </c>
      <c r="F99" t="s">
        <v>75</v>
      </c>
      <c r="G99" t="s">
        <v>488</v>
      </c>
      <c r="H99" t="s">
        <v>489</v>
      </c>
      <c r="I99" t="s">
        <v>502</v>
      </c>
      <c r="J99" t="s">
        <v>503</v>
      </c>
      <c r="AG99" t="s">
        <v>589</v>
      </c>
      <c r="AH99" t="s">
        <v>590</v>
      </c>
      <c r="AI99" t="s">
        <v>353</v>
      </c>
      <c r="AJ99" t="s">
        <v>502</v>
      </c>
      <c r="AK99" s="1">
        <v>-81360</v>
      </c>
      <c r="AL99" s="1">
        <v>0</v>
      </c>
      <c r="AM99" s="1">
        <v>-81360</v>
      </c>
      <c r="AN99" s="1">
        <v>-27120</v>
      </c>
      <c r="AO99" s="1">
        <v>0</v>
      </c>
      <c r="AP99" s="1">
        <v>-27120</v>
      </c>
      <c r="AQ99" s="1">
        <v>-27120</v>
      </c>
      <c r="AR99" s="1">
        <v>0</v>
      </c>
      <c r="AS99" s="1">
        <v>-27120</v>
      </c>
      <c r="AT99" s="1">
        <v>0</v>
      </c>
      <c r="BA99" s="195"/>
      <c r="BB99" s="195"/>
      <c r="BC99" s="195"/>
      <c r="BD99" s="195"/>
      <c r="BE99" s="195"/>
      <c r="BF99" s="195"/>
      <c r="BG99" s="195"/>
      <c r="BH99" s="195"/>
      <c r="BI99" s="195"/>
    </row>
    <row r="100" spans="1:61" x14ac:dyDescent="0.25">
      <c r="A100" t="s">
        <v>343</v>
      </c>
      <c r="B100" t="s">
        <v>344</v>
      </c>
      <c r="C100" t="s">
        <v>345</v>
      </c>
      <c r="D100" t="s">
        <v>346</v>
      </c>
      <c r="E100" t="s">
        <v>487</v>
      </c>
      <c r="F100" t="s">
        <v>75</v>
      </c>
      <c r="G100" t="s">
        <v>488</v>
      </c>
      <c r="H100" t="s">
        <v>489</v>
      </c>
      <c r="I100" t="s">
        <v>502</v>
      </c>
      <c r="J100" t="s">
        <v>503</v>
      </c>
      <c r="AG100" t="s">
        <v>591</v>
      </c>
      <c r="AH100" t="s">
        <v>592</v>
      </c>
      <c r="AI100" t="s">
        <v>353</v>
      </c>
      <c r="AJ100" t="s">
        <v>502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-30000</v>
      </c>
      <c r="AR100" s="1">
        <v>0</v>
      </c>
      <c r="AS100" s="1">
        <v>-30000</v>
      </c>
      <c r="AT100" s="1">
        <v>0</v>
      </c>
      <c r="BA100" s="195"/>
      <c r="BB100" s="195"/>
      <c r="BC100" s="195"/>
      <c r="BD100" s="195"/>
      <c r="BE100" s="195"/>
      <c r="BF100" s="195"/>
      <c r="BG100" s="195"/>
      <c r="BH100" s="195"/>
      <c r="BI100" s="195"/>
    </row>
    <row r="101" spans="1:61" x14ac:dyDescent="0.25">
      <c r="A101" t="s">
        <v>343</v>
      </c>
      <c r="B101" t="s">
        <v>344</v>
      </c>
      <c r="C101" t="s">
        <v>345</v>
      </c>
      <c r="D101" t="s">
        <v>346</v>
      </c>
      <c r="E101" t="s">
        <v>487</v>
      </c>
      <c r="F101" t="s">
        <v>75</v>
      </c>
      <c r="G101" t="s">
        <v>488</v>
      </c>
      <c r="H101" t="s">
        <v>489</v>
      </c>
      <c r="I101" t="s">
        <v>502</v>
      </c>
      <c r="J101" t="s">
        <v>503</v>
      </c>
      <c r="AG101" t="s">
        <v>593</v>
      </c>
      <c r="AH101" t="s">
        <v>594</v>
      </c>
      <c r="AI101" t="s">
        <v>353</v>
      </c>
      <c r="AJ101" t="s">
        <v>502</v>
      </c>
      <c r="AK101" s="1">
        <v>-10108.950000000001</v>
      </c>
      <c r="AL101" s="1">
        <v>0</v>
      </c>
      <c r="AM101" s="1">
        <v>-10108.950000000001</v>
      </c>
      <c r="AN101" s="1">
        <v>-3369.65</v>
      </c>
      <c r="AO101" s="1">
        <v>0</v>
      </c>
      <c r="AP101" s="1">
        <v>-3369.65</v>
      </c>
      <c r="AQ101" s="1">
        <v>-1035.6199999999999</v>
      </c>
      <c r="AR101" s="1">
        <v>0</v>
      </c>
      <c r="AS101" s="1">
        <v>-1035.6199999999999</v>
      </c>
      <c r="AT101" s="1">
        <v>0</v>
      </c>
      <c r="BA101" s="195"/>
      <c r="BB101" s="195"/>
      <c r="BC101" s="195"/>
      <c r="BD101" s="195"/>
      <c r="BE101" s="195"/>
      <c r="BF101" s="195"/>
      <c r="BG101" s="195"/>
      <c r="BH101" s="195"/>
      <c r="BI101" s="195"/>
    </row>
    <row r="102" spans="1:61" x14ac:dyDescent="0.25">
      <c r="A102" t="s">
        <v>343</v>
      </c>
      <c r="B102" t="s">
        <v>344</v>
      </c>
      <c r="C102" t="s">
        <v>345</v>
      </c>
      <c r="D102" t="s">
        <v>346</v>
      </c>
      <c r="E102" t="s">
        <v>487</v>
      </c>
      <c r="F102" t="s">
        <v>75</v>
      </c>
      <c r="G102" t="s">
        <v>488</v>
      </c>
      <c r="H102" t="s">
        <v>489</v>
      </c>
      <c r="I102" t="s">
        <v>502</v>
      </c>
      <c r="J102" t="s">
        <v>503</v>
      </c>
      <c r="AG102" t="s">
        <v>595</v>
      </c>
      <c r="AH102" t="s">
        <v>596</v>
      </c>
      <c r="AI102" t="s">
        <v>353</v>
      </c>
      <c r="AJ102" t="s">
        <v>502</v>
      </c>
      <c r="AK102" s="1">
        <v>-54000</v>
      </c>
      <c r="AL102" s="1">
        <v>0</v>
      </c>
      <c r="AM102" s="1">
        <v>-54000</v>
      </c>
      <c r="AN102" s="1">
        <v>-18000</v>
      </c>
      <c r="AO102" s="1">
        <v>0</v>
      </c>
      <c r="AP102" s="1">
        <v>-18000</v>
      </c>
      <c r="AQ102" s="1">
        <v>-18000</v>
      </c>
      <c r="AR102" s="1">
        <v>0</v>
      </c>
      <c r="AS102" s="1">
        <v>-18000</v>
      </c>
      <c r="AT102" s="1">
        <v>0</v>
      </c>
      <c r="BA102" s="195"/>
      <c r="BB102" s="195"/>
      <c r="BC102" s="195"/>
      <c r="BD102" s="195"/>
      <c r="BE102" s="195"/>
      <c r="BF102" s="195"/>
      <c r="BG102" s="195"/>
      <c r="BH102" s="195"/>
      <c r="BI102" s="195"/>
    </row>
    <row r="103" spans="1:61" x14ac:dyDescent="0.25">
      <c r="A103" t="s">
        <v>343</v>
      </c>
      <c r="B103" t="s">
        <v>344</v>
      </c>
      <c r="C103" t="s">
        <v>345</v>
      </c>
      <c r="D103" t="s">
        <v>346</v>
      </c>
      <c r="E103" t="s">
        <v>487</v>
      </c>
      <c r="F103" t="s">
        <v>75</v>
      </c>
      <c r="G103" t="s">
        <v>488</v>
      </c>
      <c r="H103" t="s">
        <v>489</v>
      </c>
      <c r="I103" t="s">
        <v>502</v>
      </c>
      <c r="J103" t="s">
        <v>503</v>
      </c>
      <c r="AG103" t="s">
        <v>597</v>
      </c>
      <c r="AH103" t="s">
        <v>598</v>
      </c>
      <c r="AI103" t="s">
        <v>353</v>
      </c>
      <c r="AJ103" t="s">
        <v>502</v>
      </c>
      <c r="AK103" s="1">
        <v>-5244</v>
      </c>
      <c r="AL103" s="1">
        <v>0</v>
      </c>
      <c r="AM103" s="1">
        <v>-5244</v>
      </c>
      <c r="AN103" s="1">
        <v>-1748</v>
      </c>
      <c r="AO103" s="1">
        <v>0</v>
      </c>
      <c r="AP103" s="1">
        <v>-1748</v>
      </c>
      <c r="AQ103" s="1">
        <v>0</v>
      </c>
      <c r="AR103" s="1">
        <v>0</v>
      </c>
      <c r="AS103" s="1">
        <v>0</v>
      </c>
      <c r="AT103" s="1">
        <v>0</v>
      </c>
      <c r="BA103" s="195"/>
      <c r="BB103" s="195"/>
      <c r="BC103" s="195"/>
      <c r="BD103" s="195"/>
      <c r="BE103" s="195"/>
      <c r="BF103" s="195"/>
      <c r="BG103" s="195"/>
      <c r="BH103" s="195"/>
      <c r="BI103" s="195"/>
    </row>
    <row r="104" spans="1:61" x14ac:dyDescent="0.25">
      <c r="A104" t="s">
        <v>343</v>
      </c>
      <c r="B104" t="s">
        <v>344</v>
      </c>
      <c r="C104" t="s">
        <v>345</v>
      </c>
      <c r="D104" t="s">
        <v>346</v>
      </c>
      <c r="E104" t="s">
        <v>487</v>
      </c>
      <c r="F104" t="s">
        <v>75</v>
      </c>
      <c r="G104" t="s">
        <v>488</v>
      </c>
      <c r="H104" t="s">
        <v>489</v>
      </c>
      <c r="I104" t="s">
        <v>502</v>
      </c>
      <c r="J104" t="s">
        <v>503</v>
      </c>
      <c r="AG104" t="s">
        <v>599</v>
      </c>
      <c r="AH104" t="s">
        <v>600</v>
      </c>
      <c r="AI104" t="s">
        <v>353</v>
      </c>
      <c r="AJ104" t="s">
        <v>502</v>
      </c>
      <c r="AK104" s="1">
        <v>-518412.78</v>
      </c>
      <c r="AL104" s="1">
        <v>0</v>
      </c>
      <c r="AM104" s="1">
        <v>-518412.78</v>
      </c>
      <c r="AN104" s="1">
        <v>-172804.26</v>
      </c>
      <c r="AO104" s="1">
        <v>0</v>
      </c>
      <c r="AP104" s="1">
        <v>-172804.26</v>
      </c>
      <c r="AQ104" s="1">
        <v>-199292.02</v>
      </c>
      <c r="AR104" s="1">
        <v>0</v>
      </c>
      <c r="AS104" s="1">
        <v>-199292.02</v>
      </c>
      <c r="AT104" s="1">
        <v>0</v>
      </c>
      <c r="BA104" s="195"/>
      <c r="BB104" s="195"/>
      <c r="BC104" s="195"/>
      <c r="BD104" s="195"/>
      <c r="BE104" s="195"/>
      <c r="BF104" s="195"/>
      <c r="BG104" s="195"/>
      <c r="BH104" s="195"/>
      <c r="BI104" s="195"/>
    </row>
    <row r="105" spans="1:61" x14ac:dyDescent="0.25">
      <c r="A105" t="s">
        <v>343</v>
      </c>
      <c r="B105" t="s">
        <v>344</v>
      </c>
      <c r="C105" t="s">
        <v>345</v>
      </c>
      <c r="D105" t="s">
        <v>346</v>
      </c>
      <c r="E105" t="s">
        <v>487</v>
      </c>
      <c r="F105" t="s">
        <v>75</v>
      </c>
      <c r="G105" t="s">
        <v>488</v>
      </c>
      <c r="H105" t="s">
        <v>489</v>
      </c>
      <c r="I105" t="s">
        <v>502</v>
      </c>
      <c r="J105" t="s">
        <v>503</v>
      </c>
      <c r="AG105" t="s">
        <v>601</v>
      </c>
      <c r="AH105" t="s">
        <v>602</v>
      </c>
      <c r="AI105" t="s">
        <v>353</v>
      </c>
      <c r="AJ105" t="s">
        <v>502</v>
      </c>
      <c r="AK105" s="1">
        <v>-339.75</v>
      </c>
      <c r="AL105" s="1">
        <v>0</v>
      </c>
      <c r="AM105" s="1">
        <v>-339.75</v>
      </c>
      <c r="AN105" s="1">
        <v>-113.25</v>
      </c>
      <c r="AO105" s="1">
        <v>0</v>
      </c>
      <c r="AP105" s="1">
        <v>-113.25</v>
      </c>
      <c r="AQ105" s="1">
        <v>-118.4</v>
      </c>
      <c r="AR105" s="1">
        <v>0</v>
      </c>
      <c r="AS105" s="1">
        <v>-118.4</v>
      </c>
      <c r="AT105" s="1">
        <v>0</v>
      </c>
      <c r="BA105" s="195"/>
      <c r="BB105" s="195"/>
      <c r="BC105" s="195"/>
      <c r="BD105" s="195"/>
      <c r="BE105" s="195"/>
      <c r="BF105" s="195"/>
      <c r="BG105" s="195"/>
      <c r="BH105" s="195"/>
      <c r="BI105" s="195"/>
    </row>
    <row r="106" spans="1:61" x14ac:dyDescent="0.25">
      <c r="A106" t="s">
        <v>343</v>
      </c>
      <c r="B106" t="s">
        <v>344</v>
      </c>
      <c r="C106" t="s">
        <v>345</v>
      </c>
      <c r="D106" t="s">
        <v>346</v>
      </c>
      <c r="E106" t="s">
        <v>487</v>
      </c>
      <c r="F106" t="s">
        <v>75</v>
      </c>
      <c r="G106" t="s">
        <v>488</v>
      </c>
      <c r="H106" t="s">
        <v>489</v>
      </c>
      <c r="I106" t="s">
        <v>502</v>
      </c>
      <c r="J106" t="s">
        <v>503</v>
      </c>
      <c r="AG106" t="s">
        <v>603</v>
      </c>
      <c r="AH106" t="s">
        <v>604</v>
      </c>
      <c r="AI106" t="s">
        <v>353</v>
      </c>
      <c r="AJ106" t="s">
        <v>502</v>
      </c>
      <c r="AK106" s="1">
        <v>-445883.79</v>
      </c>
      <c r="AL106" s="1">
        <v>0</v>
      </c>
      <c r="AM106" s="1">
        <v>-445883.79</v>
      </c>
      <c r="AN106" s="1">
        <v>-148627.93</v>
      </c>
      <c r="AO106" s="1">
        <v>0</v>
      </c>
      <c r="AP106" s="1">
        <v>-148627.93</v>
      </c>
      <c r="AQ106" s="1">
        <v>-125110.38</v>
      </c>
      <c r="AR106" s="1">
        <v>0</v>
      </c>
      <c r="AS106" s="1">
        <v>-125110.38</v>
      </c>
      <c r="AT106" s="1">
        <v>0</v>
      </c>
      <c r="BA106" s="195"/>
      <c r="BB106" s="195"/>
      <c r="BC106" s="195"/>
      <c r="BD106" s="195"/>
      <c r="BE106" s="195"/>
      <c r="BF106" s="195"/>
      <c r="BG106" s="195"/>
      <c r="BH106" s="195"/>
      <c r="BI106" s="195"/>
    </row>
    <row r="107" spans="1:61" x14ac:dyDescent="0.25">
      <c r="A107" t="s">
        <v>343</v>
      </c>
      <c r="B107" t="s">
        <v>344</v>
      </c>
      <c r="C107" t="s">
        <v>345</v>
      </c>
      <c r="D107" t="s">
        <v>346</v>
      </c>
      <c r="E107" t="s">
        <v>487</v>
      </c>
      <c r="F107" t="s">
        <v>75</v>
      </c>
      <c r="G107" t="s">
        <v>488</v>
      </c>
      <c r="H107" t="s">
        <v>489</v>
      </c>
      <c r="I107" t="s">
        <v>502</v>
      </c>
      <c r="J107" t="s">
        <v>503</v>
      </c>
      <c r="AG107" t="s">
        <v>605</v>
      </c>
      <c r="AH107" t="s">
        <v>606</v>
      </c>
      <c r="AI107" t="s">
        <v>353</v>
      </c>
      <c r="AJ107" t="s">
        <v>502</v>
      </c>
      <c r="AK107" s="1">
        <v>-105178.95</v>
      </c>
      <c r="AL107" s="1">
        <v>0</v>
      </c>
      <c r="AM107" s="1">
        <v>-105178.95</v>
      </c>
      <c r="AN107" s="1">
        <v>-35059.65</v>
      </c>
      <c r="AO107" s="1">
        <v>0</v>
      </c>
      <c r="AP107" s="1">
        <v>-35059.65</v>
      </c>
      <c r="AQ107" s="1">
        <v>-20006.8</v>
      </c>
      <c r="AR107" s="1">
        <v>0</v>
      </c>
      <c r="AS107" s="1">
        <v>-20006.8</v>
      </c>
      <c r="AT107" s="1">
        <v>0</v>
      </c>
      <c r="BA107" s="195"/>
      <c r="BB107" s="195"/>
      <c r="BC107" s="195"/>
      <c r="BD107" s="195"/>
      <c r="BE107" s="195"/>
      <c r="BF107" s="195"/>
      <c r="BG107" s="195"/>
      <c r="BH107" s="195"/>
      <c r="BI107" s="195"/>
    </row>
    <row r="108" spans="1:61" x14ac:dyDescent="0.25">
      <c r="A108" t="s">
        <v>343</v>
      </c>
      <c r="B108" t="s">
        <v>344</v>
      </c>
      <c r="C108" t="s">
        <v>345</v>
      </c>
      <c r="D108" t="s">
        <v>346</v>
      </c>
      <c r="E108" t="s">
        <v>487</v>
      </c>
      <c r="F108" t="s">
        <v>75</v>
      </c>
      <c r="G108" t="s">
        <v>488</v>
      </c>
      <c r="H108" t="s">
        <v>489</v>
      </c>
      <c r="I108" t="s">
        <v>502</v>
      </c>
      <c r="J108" t="s">
        <v>503</v>
      </c>
      <c r="AG108" t="s">
        <v>607</v>
      </c>
      <c r="AH108" t="s">
        <v>608</v>
      </c>
      <c r="AI108" t="s">
        <v>353</v>
      </c>
      <c r="AJ108" t="s">
        <v>502</v>
      </c>
      <c r="AK108" s="1">
        <v>-16450.41</v>
      </c>
      <c r="AL108" s="1">
        <v>0</v>
      </c>
      <c r="AM108" s="1">
        <v>-16450.41</v>
      </c>
      <c r="AN108" s="1">
        <v>-5483.47</v>
      </c>
      <c r="AO108" s="1">
        <v>0</v>
      </c>
      <c r="AP108" s="1">
        <v>-5483.47</v>
      </c>
      <c r="AQ108" s="1">
        <v>-16959.97</v>
      </c>
      <c r="AR108" s="1">
        <v>0</v>
      </c>
      <c r="AS108" s="1">
        <v>-16959.97</v>
      </c>
      <c r="AT108" s="1">
        <v>0</v>
      </c>
      <c r="BA108" s="195"/>
      <c r="BB108" s="195"/>
      <c r="BC108" s="195"/>
      <c r="BD108" s="195"/>
      <c r="BE108" s="195"/>
      <c r="BF108" s="195"/>
      <c r="BG108" s="195"/>
      <c r="BH108" s="195"/>
      <c r="BI108" s="195"/>
    </row>
    <row r="109" spans="1:61" x14ac:dyDescent="0.25">
      <c r="A109" t="s">
        <v>343</v>
      </c>
      <c r="B109" t="s">
        <v>344</v>
      </c>
      <c r="C109" t="s">
        <v>345</v>
      </c>
      <c r="D109" t="s">
        <v>346</v>
      </c>
      <c r="E109" t="s">
        <v>487</v>
      </c>
      <c r="F109" t="s">
        <v>75</v>
      </c>
      <c r="G109" t="s">
        <v>488</v>
      </c>
      <c r="H109" t="s">
        <v>489</v>
      </c>
      <c r="I109" t="s">
        <v>502</v>
      </c>
      <c r="J109" t="s">
        <v>503</v>
      </c>
      <c r="AG109" t="s">
        <v>609</v>
      </c>
      <c r="AH109" t="s">
        <v>610</v>
      </c>
      <c r="AI109" t="s">
        <v>353</v>
      </c>
      <c r="AJ109" t="s">
        <v>502</v>
      </c>
      <c r="AK109" s="1">
        <v>-110582.88</v>
      </c>
      <c r="AL109" s="1">
        <v>0</v>
      </c>
      <c r="AM109" s="1">
        <v>-110582.88</v>
      </c>
      <c r="AN109" s="1">
        <v>-36860.959999999999</v>
      </c>
      <c r="AO109" s="1">
        <v>0</v>
      </c>
      <c r="AP109" s="1">
        <v>-36860.959999999999</v>
      </c>
      <c r="AQ109" s="1">
        <v>-38145.040000000001</v>
      </c>
      <c r="AR109" s="1">
        <v>0</v>
      </c>
      <c r="AS109" s="1">
        <v>-38145.040000000001</v>
      </c>
      <c r="AT109" s="1">
        <v>0</v>
      </c>
      <c r="BA109" s="195"/>
      <c r="BB109" s="195"/>
      <c r="BC109" s="195"/>
      <c r="BD109" s="195"/>
      <c r="BE109" s="195"/>
      <c r="BF109" s="195"/>
      <c r="BG109" s="195"/>
      <c r="BH109" s="195"/>
      <c r="BI109" s="195"/>
    </row>
    <row r="110" spans="1:61" x14ac:dyDescent="0.25">
      <c r="A110" t="s">
        <v>343</v>
      </c>
      <c r="B110" t="s">
        <v>344</v>
      </c>
      <c r="C110" t="s">
        <v>345</v>
      </c>
      <c r="D110" t="s">
        <v>346</v>
      </c>
      <c r="E110" t="s">
        <v>487</v>
      </c>
      <c r="F110" t="s">
        <v>75</v>
      </c>
      <c r="G110" t="s">
        <v>488</v>
      </c>
      <c r="H110" t="s">
        <v>489</v>
      </c>
      <c r="I110" t="s">
        <v>502</v>
      </c>
      <c r="J110" t="s">
        <v>503</v>
      </c>
      <c r="AG110" t="s">
        <v>611</v>
      </c>
      <c r="AH110" t="s">
        <v>612</v>
      </c>
      <c r="AI110" t="s">
        <v>353</v>
      </c>
      <c r="AJ110" t="s">
        <v>502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-36.049999999999997</v>
      </c>
      <c r="AR110" s="1">
        <v>0</v>
      </c>
      <c r="AS110" s="1">
        <v>-36.049999999999997</v>
      </c>
      <c r="AT110" s="1">
        <v>0</v>
      </c>
      <c r="BA110" s="195"/>
      <c r="BB110" s="195"/>
      <c r="BC110" s="195"/>
      <c r="BD110" s="195"/>
      <c r="BE110" s="195"/>
      <c r="BF110" s="195"/>
      <c r="BG110" s="195"/>
      <c r="BH110" s="195"/>
      <c r="BI110" s="195"/>
    </row>
    <row r="111" spans="1:61" x14ac:dyDescent="0.25">
      <c r="A111" t="s">
        <v>343</v>
      </c>
      <c r="B111" t="s">
        <v>344</v>
      </c>
      <c r="C111" t="s">
        <v>345</v>
      </c>
      <c r="D111" t="s">
        <v>346</v>
      </c>
      <c r="E111" t="s">
        <v>487</v>
      </c>
      <c r="F111" t="s">
        <v>75</v>
      </c>
      <c r="G111" t="s">
        <v>488</v>
      </c>
      <c r="H111" t="s">
        <v>489</v>
      </c>
      <c r="I111" t="s">
        <v>502</v>
      </c>
      <c r="J111" t="s">
        <v>503</v>
      </c>
      <c r="AG111" t="s">
        <v>613</v>
      </c>
      <c r="AH111" t="s">
        <v>614</v>
      </c>
      <c r="AI111" t="s">
        <v>353</v>
      </c>
      <c r="AJ111" t="s">
        <v>502</v>
      </c>
      <c r="AK111" s="1">
        <v>-4335.63</v>
      </c>
      <c r="AL111" s="1">
        <v>0</v>
      </c>
      <c r="AM111" s="1">
        <v>-4335.63</v>
      </c>
      <c r="AN111" s="1">
        <v>-1445.21</v>
      </c>
      <c r="AO111" s="1">
        <v>0</v>
      </c>
      <c r="AP111" s="1">
        <v>-1445.21</v>
      </c>
      <c r="AQ111" s="1">
        <v>-760.4</v>
      </c>
      <c r="AR111" s="1">
        <v>0</v>
      </c>
      <c r="AS111" s="1">
        <v>-760.4</v>
      </c>
      <c r="AT111" s="1">
        <v>0</v>
      </c>
      <c r="BA111" s="195"/>
      <c r="BB111" s="195"/>
      <c r="BC111" s="195"/>
      <c r="BD111" s="195"/>
      <c r="BE111" s="195"/>
      <c r="BF111" s="195"/>
      <c r="BG111" s="195"/>
      <c r="BH111" s="195"/>
      <c r="BI111" s="195"/>
    </row>
    <row r="112" spans="1:61" x14ac:dyDescent="0.25">
      <c r="A112" t="s">
        <v>343</v>
      </c>
      <c r="B112" t="s">
        <v>344</v>
      </c>
      <c r="C112" t="s">
        <v>345</v>
      </c>
      <c r="D112" t="s">
        <v>346</v>
      </c>
      <c r="E112" t="s">
        <v>487</v>
      </c>
      <c r="F112" t="s">
        <v>75</v>
      </c>
      <c r="G112" t="s">
        <v>488</v>
      </c>
      <c r="H112" t="s">
        <v>489</v>
      </c>
      <c r="I112" t="s">
        <v>502</v>
      </c>
      <c r="J112" t="s">
        <v>503</v>
      </c>
      <c r="AG112" t="s">
        <v>615</v>
      </c>
      <c r="AH112" t="s">
        <v>616</v>
      </c>
      <c r="AI112" t="s">
        <v>353</v>
      </c>
      <c r="AJ112" t="s">
        <v>502</v>
      </c>
      <c r="AK112" s="1">
        <v>-1500</v>
      </c>
      <c r="AL112" s="1">
        <v>0</v>
      </c>
      <c r="AM112" s="1">
        <v>-1500</v>
      </c>
      <c r="AN112" s="1">
        <v>-500</v>
      </c>
      <c r="AO112" s="1">
        <v>0</v>
      </c>
      <c r="AP112" s="1">
        <v>-500</v>
      </c>
      <c r="AQ112" s="1">
        <v>0</v>
      </c>
      <c r="AR112" s="1">
        <v>0</v>
      </c>
      <c r="AS112" s="1">
        <v>0</v>
      </c>
      <c r="AT112" s="1">
        <v>0</v>
      </c>
      <c r="BA112" s="195"/>
      <c r="BB112" s="195"/>
      <c r="BC112" s="195"/>
      <c r="BD112" s="195"/>
      <c r="BE112" s="195"/>
      <c r="BF112" s="195"/>
      <c r="BG112" s="195"/>
      <c r="BH112" s="195"/>
      <c r="BI112" s="195"/>
    </row>
    <row r="113" spans="1:61" x14ac:dyDescent="0.25">
      <c r="A113" t="s">
        <v>343</v>
      </c>
      <c r="B113" t="s">
        <v>344</v>
      </c>
      <c r="C113" t="s">
        <v>345</v>
      </c>
      <c r="D113" t="s">
        <v>346</v>
      </c>
      <c r="E113" t="s">
        <v>487</v>
      </c>
      <c r="F113" t="s">
        <v>75</v>
      </c>
      <c r="G113" t="s">
        <v>488</v>
      </c>
      <c r="H113" t="s">
        <v>489</v>
      </c>
      <c r="I113" t="s">
        <v>502</v>
      </c>
      <c r="J113" t="s">
        <v>503</v>
      </c>
      <c r="AG113" t="s">
        <v>617</v>
      </c>
      <c r="AH113" t="s">
        <v>618</v>
      </c>
      <c r="AI113" t="s">
        <v>353</v>
      </c>
      <c r="AJ113" t="s">
        <v>502</v>
      </c>
      <c r="AK113" s="1">
        <v>-2644.56</v>
      </c>
      <c r="AL113" s="1">
        <v>0</v>
      </c>
      <c r="AM113" s="1">
        <v>-2644.56</v>
      </c>
      <c r="AN113" s="1">
        <v>-881.52</v>
      </c>
      <c r="AO113" s="1">
        <v>0</v>
      </c>
      <c r="AP113" s="1">
        <v>-881.52</v>
      </c>
      <c r="AQ113" s="1">
        <v>0</v>
      </c>
      <c r="AR113" s="1">
        <v>0</v>
      </c>
      <c r="AS113" s="1">
        <v>0</v>
      </c>
      <c r="AT113" s="1">
        <v>0</v>
      </c>
      <c r="BA113" s="195"/>
      <c r="BB113" s="195"/>
      <c r="BC113" s="195"/>
      <c r="BD113" s="195"/>
      <c r="BE113" s="195"/>
      <c r="BF113" s="195"/>
      <c r="BG113" s="195"/>
      <c r="BH113" s="195"/>
      <c r="BI113" s="195"/>
    </row>
    <row r="114" spans="1:61" x14ac:dyDescent="0.25">
      <c r="A114" t="s">
        <v>343</v>
      </c>
      <c r="B114" t="s">
        <v>344</v>
      </c>
      <c r="C114" t="s">
        <v>345</v>
      </c>
      <c r="D114" t="s">
        <v>346</v>
      </c>
      <c r="E114" t="s">
        <v>487</v>
      </c>
      <c r="F114" t="s">
        <v>75</v>
      </c>
      <c r="G114" t="s">
        <v>488</v>
      </c>
      <c r="H114" t="s">
        <v>489</v>
      </c>
      <c r="I114" t="s">
        <v>502</v>
      </c>
      <c r="J114" t="s">
        <v>503</v>
      </c>
      <c r="AG114" t="s">
        <v>619</v>
      </c>
      <c r="AH114" t="s">
        <v>620</v>
      </c>
      <c r="AI114" t="s">
        <v>353</v>
      </c>
      <c r="AJ114" t="s">
        <v>502</v>
      </c>
      <c r="AK114" s="1">
        <v>-451635.12</v>
      </c>
      <c r="AL114" s="1">
        <v>0</v>
      </c>
      <c r="AM114" s="1">
        <v>-451635.12</v>
      </c>
      <c r="AN114" s="1">
        <v>-150545.04</v>
      </c>
      <c r="AO114" s="1">
        <v>0</v>
      </c>
      <c r="AP114" s="1">
        <v>-150545.04</v>
      </c>
      <c r="AQ114" s="1">
        <v>-168883.98</v>
      </c>
      <c r="AR114" s="1">
        <v>0</v>
      </c>
      <c r="AS114" s="1">
        <v>-168883.98</v>
      </c>
      <c r="AT114" s="1">
        <v>0</v>
      </c>
      <c r="BA114" s="195"/>
      <c r="BB114" s="195"/>
      <c r="BC114" s="195"/>
      <c r="BD114" s="195"/>
      <c r="BE114" s="195"/>
      <c r="BF114" s="195"/>
      <c r="BG114" s="195"/>
      <c r="BH114" s="195"/>
      <c r="BI114" s="195"/>
    </row>
    <row r="115" spans="1:61" x14ac:dyDescent="0.25">
      <c r="A115" t="s">
        <v>343</v>
      </c>
      <c r="B115" t="s">
        <v>344</v>
      </c>
      <c r="C115" t="s">
        <v>345</v>
      </c>
      <c r="D115" t="s">
        <v>346</v>
      </c>
      <c r="E115" t="s">
        <v>487</v>
      </c>
      <c r="F115" t="s">
        <v>75</v>
      </c>
      <c r="G115" t="s">
        <v>488</v>
      </c>
      <c r="H115" t="s">
        <v>489</v>
      </c>
      <c r="I115" t="s">
        <v>502</v>
      </c>
      <c r="J115" t="s">
        <v>503</v>
      </c>
      <c r="AG115" t="s">
        <v>621</v>
      </c>
      <c r="AH115" t="s">
        <v>622</v>
      </c>
      <c r="AI115" t="s">
        <v>353</v>
      </c>
      <c r="AJ115" t="s">
        <v>502</v>
      </c>
      <c r="AK115" s="1">
        <v>-3180</v>
      </c>
      <c r="AL115" s="1">
        <v>0</v>
      </c>
      <c r="AM115" s="1">
        <v>-3180</v>
      </c>
      <c r="AN115" s="1">
        <v>-1060</v>
      </c>
      <c r="AO115" s="1">
        <v>0</v>
      </c>
      <c r="AP115" s="1">
        <v>-1060</v>
      </c>
      <c r="AQ115" s="1">
        <v>-6574.62</v>
      </c>
      <c r="AR115" s="1">
        <v>0</v>
      </c>
      <c r="AS115" s="1">
        <v>-6574.62</v>
      </c>
      <c r="AT115" s="1">
        <v>0</v>
      </c>
      <c r="BA115" s="195"/>
      <c r="BB115" s="195"/>
      <c r="BC115" s="195"/>
      <c r="BD115" s="195"/>
      <c r="BE115" s="195"/>
      <c r="BF115" s="195"/>
      <c r="BG115" s="195"/>
      <c r="BH115" s="195"/>
      <c r="BI115" s="195"/>
    </row>
    <row r="116" spans="1:61" x14ac:dyDescent="0.25">
      <c r="A116" t="s">
        <v>343</v>
      </c>
      <c r="B116" t="s">
        <v>344</v>
      </c>
      <c r="C116" t="s">
        <v>345</v>
      </c>
      <c r="D116" t="s">
        <v>346</v>
      </c>
      <c r="E116" t="s">
        <v>487</v>
      </c>
      <c r="F116" t="s">
        <v>75</v>
      </c>
      <c r="G116" t="s">
        <v>488</v>
      </c>
      <c r="H116" t="s">
        <v>489</v>
      </c>
      <c r="I116" t="s">
        <v>502</v>
      </c>
      <c r="J116" t="s">
        <v>503</v>
      </c>
      <c r="AG116" t="s">
        <v>623</v>
      </c>
      <c r="AH116" t="s">
        <v>624</v>
      </c>
      <c r="AI116" t="s">
        <v>353</v>
      </c>
      <c r="AJ116" t="s">
        <v>502</v>
      </c>
      <c r="AK116" s="1">
        <v>-1195370.79</v>
      </c>
      <c r="AL116" s="1">
        <v>0</v>
      </c>
      <c r="AM116" s="1">
        <v>-1195370.79</v>
      </c>
      <c r="AN116" s="1">
        <v>-398456.93</v>
      </c>
      <c r="AO116" s="1">
        <v>0</v>
      </c>
      <c r="AP116" s="1">
        <v>-398456.93</v>
      </c>
      <c r="AQ116" s="1">
        <v>-466585.89</v>
      </c>
      <c r="AR116" s="1">
        <v>0</v>
      </c>
      <c r="AS116" s="1">
        <v>-466585.89</v>
      </c>
      <c r="AT116" s="1">
        <v>0</v>
      </c>
      <c r="BA116" s="195"/>
      <c r="BB116" s="195"/>
      <c r="BC116" s="195"/>
      <c r="BD116" s="195"/>
      <c r="BE116" s="195"/>
      <c r="BF116" s="195"/>
      <c r="BG116" s="195"/>
      <c r="BH116" s="195"/>
      <c r="BI116" s="195"/>
    </row>
    <row r="117" spans="1:61" x14ac:dyDescent="0.25">
      <c r="A117" t="s">
        <v>343</v>
      </c>
      <c r="B117" t="s">
        <v>344</v>
      </c>
      <c r="C117" t="s">
        <v>345</v>
      </c>
      <c r="D117" t="s">
        <v>346</v>
      </c>
      <c r="E117" t="s">
        <v>487</v>
      </c>
      <c r="F117" t="s">
        <v>75</v>
      </c>
      <c r="G117" t="s">
        <v>488</v>
      </c>
      <c r="H117" t="s">
        <v>489</v>
      </c>
      <c r="I117" t="s">
        <v>502</v>
      </c>
      <c r="J117" t="s">
        <v>503</v>
      </c>
      <c r="AG117" t="s">
        <v>625</v>
      </c>
      <c r="AH117" t="s">
        <v>626</v>
      </c>
      <c r="AI117" t="s">
        <v>353</v>
      </c>
      <c r="AJ117" t="s">
        <v>502</v>
      </c>
      <c r="AK117" s="1">
        <v>-47371.8</v>
      </c>
      <c r="AL117" s="1">
        <v>0</v>
      </c>
      <c r="AM117" s="1">
        <v>-47371.8</v>
      </c>
      <c r="AN117" s="1">
        <v>-15790.6</v>
      </c>
      <c r="AO117" s="1">
        <v>0</v>
      </c>
      <c r="AP117" s="1">
        <v>-15790.6</v>
      </c>
      <c r="AQ117" s="1">
        <v>0</v>
      </c>
      <c r="AR117" s="1">
        <v>0</v>
      </c>
      <c r="AS117" s="1">
        <v>0</v>
      </c>
      <c r="AT117" s="1">
        <v>0</v>
      </c>
      <c r="BA117" s="195"/>
      <c r="BB117" s="195"/>
      <c r="BC117" s="195"/>
      <c r="BD117" s="195"/>
      <c r="BE117" s="195"/>
      <c r="BF117" s="195"/>
      <c r="BG117" s="195"/>
      <c r="BH117" s="195"/>
      <c r="BI117" s="195"/>
    </row>
    <row r="118" spans="1:61" x14ac:dyDescent="0.25">
      <c r="A118" t="s">
        <v>343</v>
      </c>
      <c r="B118" t="s">
        <v>344</v>
      </c>
      <c r="C118" t="s">
        <v>345</v>
      </c>
      <c r="D118" t="s">
        <v>346</v>
      </c>
      <c r="E118" t="s">
        <v>487</v>
      </c>
      <c r="F118" t="s">
        <v>75</v>
      </c>
      <c r="G118" t="s">
        <v>488</v>
      </c>
      <c r="H118" t="s">
        <v>489</v>
      </c>
      <c r="I118" t="s">
        <v>502</v>
      </c>
      <c r="J118" t="s">
        <v>503</v>
      </c>
      <c r="AG118" t="s">
        <v>627</v>
      </c>
      <c r="AH118" t="s">
        <v>628</v>
      </c>
      <c r="AI118" t="s">
        <v>353</v>
      </c>
      <c r="AJ118" t="s">
        <v>502</v>
      </c>
      <c r="AK118" s="1">
        <v>-10387.65</v>
      </c>
      <c r="AL118" s="1">
        <v>0</v>
      </c>
      <c r="AM118" s="1">
        <v>-10387.65</v>
      </c>
      <c r="AN118" s="1">
        <v>-3462.55</v>
      </c>
      <c r="AO118" s="1">
        <v>0</v>
      </c>
      <c r="AP118" s="1">
        <v>-3462.55</v>
      </c>
      <c r="AQ118" s="1">
        <v>-1733.63</v>
      </c>
      <c r="AR118" s="1">
        <v>0</v>
      </c>
      <c r="AS118" s="1">
        <v>-1733.63</v>
      </c>
      <c r="AT118" s="1">
        <v>0</v>
      </c>
      <c r="BA118" s="195"/>
      <c r="BB118" s="195"/>
      <c r="BC118" s="195"/>
      <c r="BD118" s="195"/>
      <c r="BE118" s="195"/>
      <c r="BF118" s="195"/>
      <c r="BG118" s="195"/>
      <c r="BH118" s="195"/>
      <c r="BI118" s="195"/>
    </row>
    <row r="119" spans="1:61" x14ac:dyDescent="0.25">
      <c r="A119" t="s">
        <v>343</v>
      </c>
      <c r="B119" t="s">
        <v>344</v>
      </c>
      <c r="C119" t="s">
        <v>345</v>
      </c>
      <c r="D119" t="s">
        <v>346</v>
      </c>
      <c r="E119" t="s">
        <v>487</v>
      </c>
      <c r="F119" t="s">
        <v>75</v>
      </c>
      <c r="G119" t="s">
        <v>488</v>
      </c>
      <c r="H119" t="s">
        <v>489</v>
      </c>
      <c r="I119" t="s">
        <v>502</v>
      </c>
      <c r="J119" t="s">
        <v>503</v>
      </c>
      <c r="AG119" t="s">
        <v>629</v>
      </c>
      <c r="AH119" t="s">
        <v>630</v>
      </c>
      <c r="AI119" t="s">
        <v>353</v>
      </c>
      <c r="AJ119" t="s">
        <v>502</v>
      </c>
      <c r="AK119" s="1">
        <v>-58971.3</v>
      </c>
      <c r="AL119" s="1">
        <v>0</v>
      </c>
      <c r="AM119" s="1">
        <v>-58971.3</v>
      </c>
      <c r="AN119" s="1">
        <v>-19657.099999999999</v>
      </c>
      <c r="AO119" s="1">
        <v>0</v>
      </c>
      <c r="AP119" s="1">
        <v>-19657.099999999999</v>
      </c>
      <c r="AQ119" s="1">
        <v>-14528.34</v>
      </c>
      <c r="AR119" s="1">
        <v>0</v>
      </c>
      <c r="AS119" s="1">
        <v>-14528.34</v>
      </c>
      <c r="AT119" s="1">
        <v>0</v>
      </c>
      <c r="BA119" s="195"/>
      <c r="BB119" s="195"/>
      <c r="BC119" s="195"/>
      <c r="BD119" s="195"/>
      <c r="BE119" s="195"/>
      <c r="BF119" s="195"/>
      <c r="BG119" s="195"/>
      <c r="BH119" s="195"/>
      <c r="BI119" s="195"/>
    </row>
    <row r="120" spans="1:61" x14ac:dyDescent="0.25">
      <c r="A120" t="s">
        <v>343</v>
      </c>
      <c r="B120" t="s">
        <v>344</v>
      </c>
      <c r="C120" t="s">
        <v>345</v>
      </c>
      <c r="D120" t="s">
        <v>346</v>
      </c>
      <c r="E120" t="s">
        <v>487</v>
      </c>
      <c r="F120" t="s">
        <v>75</v>
      </c>
      <c r="G120" t="s">
        <v>488</v>
      </c>
      <c r="H120" t="s">
        <v>489</v>
      </c>
      <c r="I120" t="s">
        <v>502</v>
      </c>
      <c r="J120" t="s">
        <v>503</v>
      </c>
      <c r="AG120" t="s">
        <v>631</v>
      </c>
      <c r="AH120" t="s">
        <v>632</v>
      </c>
      <c r="AI120" t="s">
        <v>353</v>
      </c>
      <c r="AJ120" t="s">
        <v>502</v>
      </c>
      <c r="AK120" s="1">
        <v>-33743.129999999997</v>
      </c>
      <c r="AL120" s="1">
        <v>0</v>
      </c>
      <c r="AM120" s="1">
        <v>-33743.129999999997</v>
      </c>
      <c r="AN120" s="1">
        <v>-11247.71</v>
      </c>
      <c r="AO120" s="1">
        <v>0</v>
      </c>
      <c r="AP120" s="1">
        <v>-11247.71</v>
      </c>
      <c r="AQ120" s="1">
        <v>-14369.95</v>
      </c>
      <c r="AR120" s="1">
        <v>0</v>
      </c>
      <c r="AS120" s="1">
        <v>-14369.95</v>
      </c>
      <c r="AT120" s="1">
        <v>0</v>
      </c>
      <c r="BA120" s="195"/>
      <c r="BB120" s="195"/>
      <c r="BC120" s="195"/>
      <c r="BD120" s="195"/>
      <c r="BE120" s="195"/>
      <c r="BF120" s="195"/>
      <c r="BG120" s="195"/>
      <c r="BH120" s="195"/>
      <c r="BI120" s="195"/>
    </row>
    <row r="121" spans="1:61" x14ac:dyDescent="0.25">
      <c r="A121" t="s">
        <v>343</v>
      </c>
      <c r="B121" t="s">
        <v>344</v>
      </c>
      <c r="C121" t="s">
        <v>345</v>
      </c>
      <c r="D121" t="s">
        <v>346</v>
      </c>
      <c r="E121" t="s">
        <v>487</v>
      </c>
      <c r="F121" t="s">
        <v>75</v>
      </c>
      <c r="G121" t="s">
        <v>488</v>
      </c>
      <c r="H121" t="s">
        <v>489</v>
      </c>
      <c r="I121" t="s">
        <v>502</v>
      </c>
      <c r="J121" t="s">
        <v>503</v>
      </c>
      <c r="AG121" t="s">
        <v>633</v>
      </c>
      <c r="AH121" t="s">
        <v>634</v>
      </c>
      <c r="AI121" t="s">
        <v>353</v>
      </c>
      <c r="AJ121" t="s">
        <v>502</v>
      </c>
      <c r="AK121" s="1">
        <v>-331113.81</v>
      </c>
      <c r="AL121" s="1">
        <v>0</v>
      </c>
      <c r="AM121" s="1">
        <v>-331113.81</v>
      </c>
      <c r="AN121" s="1">
        <v>-110371.27</v>
      </c>
      <c r="AO121" s="1">
        <v>0</v>
      </c>
      <c r="AP121" s="1">
        <v>-110371.27</v>
      </c>
      <c r="AQ121" s="1">
        <v>-93434.92</v>
      </c>
      <c r="AR121" s="1">
        <v>0</v>
      </c>
      <c r="AS121" s="1">
        <v>-93434.92</v>
      </c>
      <c r="AT121" s="1">
        <v>0</v>
      </c>
      <c r="BA121" s="195"/>
      <c r="BB121" s="195"/>
      <c r="BC121" s="195"/>
      <c r="BD121" s="195"/>
      <c r="BE121" s="195"/>
      <c r="BF121" s="195"/>
      <c r="BG121" s="195"/>
      <c r="BH121" s="195"/>
      <c r="BI121" s="195"/>
    </row>
    <row r="122" spans="1:61" x14ac:dyDescent="0.25">
      <c r="A122" t="s">
        <v>343</v>
      </c>
      <c r="B122" t="s">
        <v>344</v>
      </c>
      <c r="C122" t="s">
        <v>345</v>
      </c>
      <c r="D122" t="s">
        <v>346</v>
      </c>
      <c r="E122" t="s">
        <v>487</v>
      </c>
      <c r="F122" t="s">
        <v>75</v>
      </c>
      <c r="G122" t="s">
        <v>488</v>
      </c>
      <c r="H122" t="s">
        <v>489</v>
      </c>
      <c r="I122" t="s">
        <v>502</v>
      </c>
      <c r="J122" t="s">
        <v>503</v>
      </c>
      <c r="AG122" t="s">
        <v>635</v>
      </c>
      <c r="AH122" t="s">
        <v>636</v>
      </c>
      <c r="AI122" t="s">
        <v>353</v>
      </c>
      <c r="AJ122" t="s">
        <v>502</v>
      </c>
      <c r="AK122" s="1">
        <v>-11215.23</v>
      </c>
      <c r="AL122" s="1">
        <v>0</v>
      </c>
      <c r="AM122" s="1">
        <v>-11215.23</v>
      </c>
      <c r="AN122" s="1">
        <v>-3738.41</v>
      </c>
      <c r="AO122" s="1">
        <v>0</v>
      </c>
      <c r="AP122" s="1">
        <v>-3738.41</v>
      </c>
      <c r="AQ122" s="1">
        <v>-2618.91</v>
      </c>
      <c r="AR122" s="1">
        <v>0</v>
      </c>
      <c r="AS122" s="1">
        <v>-2618.91</v>
      </c>
      <c r="AT122" s="1">
        <v>0</v>
      </c>
      <c r="BA122" s="195"/>
      <c r="BB122" s="195"/>
      <c r="BC122" s="195"/>
      <c r="BD122" s="195"/>
      <c r="BE122" s="195"/>
      <c r="BF122" s="195"/>
      <c r="BG122" s="195"/>
      <c r="BH122" s="195"/>
      <c r="BI122" s="195"/>
    </row>
    <row r="123" spans="1:61" x14ac:dyDescent="0.25">
      <c r="A123" t="s">
        <v>343</v>
      </c>
      <c r="B123" t="s">
        <v>344</v>
      </c>
      <c r="C123" t="s">
        <v>345</v>
      </c>
      <c r="D123" t="s">
        <v>346</v>
      </c>
      <c r="E123" t="s">
        <v>487</v>
      </c>
      <c r="F123" t="s">
        <v>75</v>
      </c>
      <c r="G123" t="s">
        <v>488</v>
      </c>
      <c r="H123" t="s">
        <v>489</v>
      </c>
      <c r="I123" t="s">
        <v>502</v>
      </c>
      <c r="J123" t="s">
        <v>503</v>
      </c>
      <c r="AG123" t="s">
        <v>637</v>
      </c>
      <c r="AH123" t="s">
        <v>638</v>
      </c>
      <c r="AI123" t="s">
        <v>353</v>
      </c>
      <c r="AJ123" t="s">
        <v>502</v>
      </c>
      <c r="AK123" s="1">
        <v>-106153.11</v>
      </c>
      <c r="AL123" s="1">
        <v>0</v>
      </c>
      <c r="AM123" s="1">
        <v>-106153.11</v>
      </c>
      <c r="AN123" s="1">
        <v>-35384.370000000003</v>
      </c>
      <c r="AO123" s="1">
        <v>0</v>
      </c>
      <c r="AP123" s="1">
        <v>-35384.370000000003</v>
      </c>
      <c r="AQ123" s="1">
        <v>-118855.35</v>
      </c>
      <c r="AR123" s="1">
        <v>0</v>
      </c>
      <c r="AS123" s="1">
        <v>-118855.35</v>
      </c>
      <c r="AT123" s="1">
        <v>0</v>
      </c>
      <c r="BA123" s="195"/>
      <c r="BB123" s="195"/>
      <c r="BC123" s="195"/>
      <c r="BD123" s="195"/>
      <c r="BE123" s="195"/>
      <c r="BF123" s="195"/>
      <c r="BG123" s="195"/>
      <c r="BH123" s="195"/>
      <c r="BI123" s="195"/>
    </row>
    <row r="124" spans="1:61" x14ac:dyDescent="0.25">
      <c r="A124" t="s">
        <v>343</v>
      </c>
      <c r="B124" t="s">
        <v>344</v>
      </c>
      <c r="C124" t="s">
        <v>345</v>
      </c>
      <c r="D124" t="s">
        <v>346</v>
      </c>
      <c r="E124" t="s">
        <v>487</v>
      </c>
      <c r="F124" t="s">
        <v>75</v>
      </c>
      <c r="G124" t="s">
        <v>488</v>
      </c>
      <c r="H124" t="s">
        <v>489</v>
      </c>
      <c r="I124" t="s">
        <v>502</v>
      </c>
      <c r="J124" t="s">
        <v>503</v>
      </c>
      <c r="AG124" t="s">
        <v>639</v>
      </c>
      <c r="AH124" t="s">
        <v>640</v>
      </c>
      <c r="AI124" t="s">
        <v>353</v>
      </c>
      <c r="AJ124" t="s">
        <v>502</v>
      </c>
      <c r="AK124" s="1">
        <v>-1290</v>
      </c>
      <c r="AL124" s="1">
        <v>0</v>
      </c>
      <c r="AM124" s="1">
        <v>-1290</v>
      </c>
      <c r="AN124" s="1">
        <v>-430</v>
      </c>
      <c r="AO124" s="1">
        <v>0</v>
      </c>
      <c r="AP124" s="1">
        <v>-430</v>
      </c>
      <c r="AQ124" s="1">
        <v>-430</v>
      </c>
      <c r="AR124" s="1">
        <v>0</v>
      </c>
      <c r="AS124" s="1">
        <v>-430</v>
      </c>
      <c r="AT124" s="1">
        <v>0</v>
      </c>
      <c r="BA124" s="195"/>
      <c r="BB124" s="195"/>
      <c r="BC124" s="195"/>
      <c r="BD124" s="195"/>
      <c r="BE124" s="195"/>
      <c r="BF124" s="195"/>
      <c r="BG124" s="195"/>
      <c r="BH124" s="195"/>
      <c r="BI124" s="195"/>
    </row>
    <row r="125" spans="1:61" x14ac:dyDescent="0.25">
      <c r="A125" t="s">
        <v>343</v>
      </c>
      <c r="B125" t="s">
        <v>344</v>
      </c>
      <c r="C125" t="s">
        <v>345</v>
      </c>
      <c r="D125" t="s">
        <v>346</v>
      </c>
      <c r="E125" t="s">
        <v>487</v>
      </c>
      <c r="F125" t="s">
        <v>75</v>
      </c>
      <c r="G125" t="s">
        <v>488</v>
      </c>
      <c r="H125" t="s">
        <v>489</v>
      </c>
      <c r="I125" t="s">
        <v>502</v>
      </c>
      <c r="J125" t="s">
        <v>503</v>
      </c>
      <c r="AG125" t="s">
        <v>641</v>
      </c>
      <c r="AH125" t="s">
        <v>642</v>
      </c>
      <c r="AI125" t="s">
        <v>353</v>
      </c>
      <c r="AJ125" t="s">
        <v>502</v>
      </c>
      <c r="AK125" s="1">
        <v>-118467.78</v>
      </c>
      <c r="AL125" s="1">
        <v>0</v>
      </c>
      <c r="AM125" s="1">
        <v>-118467.78</v>
      </c>
      <c r="AN125" s="1">
        <v>-39489.26</v>
      </c>
      <c r="AO125" s="1">
        <v>0</v>
      </c>
      <c r="AP125" s="1">
        <v>-39489.26</v>
      </c>
      <c r="AQ125" s="1">
        <v>-30584.35</v>
      </c>
      <c r="AR125" s="1">
        <v>0</v>
      </c>
      <c r="AS125" s="1">
        <v>-30584.35</v>
      </c>
      <c r="AT125" s="1">
        <v>0</v>
      </c>
      <c r="BA125" s="195"/>
      <c r="BB125" s="195"/>
      <c r="BC125" s="195"/>
      <c r="BD125" s="195"/>
      <c r="BE125" s="195"/>
      <c r="BF125" s="195"/>
      <c r="BG125" s="195"/>
      <c r="BH125" s="195"/>
      <c r="BI125" s="195"/>
    </row>
    <row r="126" spans="1:61" x14ac:dyDescent="0.25">
      <c r="A126" t="s">
        <v>343</v>
      </c>
      <c r="B126" t="s">
        <v>344</v>
      </c>
      <c r="C126" t="s">
        <v>345</v>
      </c>
      <c r="D126" t="s">
        <v>346</v>
      </c>
      <c r="E126" t="s">
        <v>487</v>
      </c>
      <c r="F126" t="s">
        <v>75</v>
      </c>
      <c r="G126" t="s">
        <v>488</v>
      </c>
      <c r="H126" t="s">
        <v>489</v>
      </c>
      <c r="I126" t="s">
        <v>502</v>
      </c>
      <c r="J126" t="s">
        <v>503</v>
      </c>
      <c r="AG126" t="s">
        <v>643</v>
      </c>
      <c r="AH126" t="s">
        <v>644</v>
      </c>
      <c r="AI126" t="s">
        <v>353</v>
      </c>
      <c r="AJ126" t="s">
        <v>502</v>
      </c>
      <c r="AK126" s="1">
        <v>-46032.15</v>
      </c>
      <c r="AL126" s="1">
        <v>0</v>
      </c>
      <c r="AM126" s="1">
        <v>-46032.15</v>
      </c>
      <c r="AN126" s="1">
        <v>-15344.05</v>
      </c>
      <c r="AO126" s="1">
        <v>0</v>
      </c>
      <c r="AP126" s="1">
        <v>-15344.05</v>
      </c>
      <c r="AQ126" s="1">
        <v>-16287.98</v>
      </c>
      <c r="AR126" s="1">
        <v>0</v>
      </c>
      <c r="AS126" s="1">
        <v>-16287.98</v>
      </c>
      <c r="AT126" s="1">
        <v>0</v>
      </c>
      <c r="BA126" s="195"/>
      <c r="BB126" s="195"/>
      <c r="BC126" s="195"/>
      <c r="BD126" s="195"/>
      <c r="BE126" s="195"/>
      <c r="BF126" s="195"/>
      <c r="BG126" s="195"/>
      <c r="BH126" s="195"/>
      <c r="BI126" s="195"/>
    </row>
    <row r="127" spans="1:61" x14ac:dyDescent="0.25">
      <c r="A127" t="s">
        <v>343</v>
      </c>
      <c r="B127" t="s">
        <v>344</v>
      </c>
      <c r="C127" t="s">
        <v>345</v>
      </c>
      <c r="D127" t="s">
        <v>346</v>
      </c>
      <c r="E127" t="s">
        <v>487</v>
      </c>
      <c r="F127" t="s">
        <v>75</v>
      </c>
      <c r="G127" t="s">
        <v>488</v>
      </c>
      <c r="H127" t="s">
        <v>489</v>
      </c>
      <c r="I127" t="s">
        <v>502</v>
      </c>
      <c r="J127" t="s">
        <v>503</v>
      </c>
      <c r="AG127" t="s">
        <v>645</v>
      </c>
      <c r="AH127" t="s">
        <v>646</v>
      </c>
      <c r="AI127" t="s">
        <v>353</v>
      </c>
      <c r="AJ127" t="s">
        <v>502</v>
      </c>
      <c r="AK127" s="1">
        <v>-57019.47</v>
      </c>
      <c r="AL127" s="1">
        <v>0</v>
      </c>
      <c r="AM127" s="1">
        <v>-57019.47</v>
      </c>
      <c r="AN127" s="1">
        <v>-19006.490000000002</v>
      </c>
      <c r="AO127" s="1">
        <v>0</v>
      </c>
      <c r="AP127" s="1">
        <v>-19006.490000000002</v>
      </c>
      <c r="AQ127" s="1">
        <v>-20268.87</v>
      </c>
      <c r="AR127" s="1">
        <v>0</v>
      </c>
      <c r="AS127" s="1">
        <v>-20268.87</v>
      </c>
      <c r="AT127" s="1">
        <v>0</v>
      </c>
      <c r="BA127" s="195"/>
      <c r="BB127" s="195"/>
      <c r="BC127" s="195"/>
      <c r="BD127" s="195"/>
      <c r="BE127" s="195"/>
      <c r="BF127" s="195"/>
      <c r="BG127" s="195"/>
      <c r="BH127" s="195"/>
      <c r="BI127" s="195"/>
    </row>
    <row r="128" spans="1:61" x14ac:dyDescent="0.25">
      <c r="A128" t="s">
        <v>343</v>
      </c>
      <c r="B128" t="s">
        <v>344</v>
      </c>
      <c r="C128" t="s">
        <v>345</v>
      </c>
      <c r="D128" t="s">
        <v>346</v>
      </c>
      <c r="E128" t="s">
        <v>487</v>
      </c>
      <c r="F128" t="s">
        <v>75</v>
      </c>
      <c r="G128" t="s">
        <v>488</v>
      </c>
      <c r="H128" t="s">
        <v>489</v>
      </c>
      <c r="I128" t="s">
        <v>502</v>
      </c>
      <c r="J128" t="s">
        <v>503</v>
      </c>
      <c r="AG128" t="s">
        <v>647</v>
      </c>
      <c r="AH128" t="s">
        <v>648</v>
      </c>
      <c r="AI128" t="s">
        <v>353</v>
      </c>
      <c r="AJ128" t="s">
        <v>502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-10.95</v>
      </c>
      <c r="AR128" s="1">
        <v>0</v>
      </c>
      <c r="AS128" s="1">
        <v>-10.95</v>
      </c>
      <c r="AT128" s="1">
        <v>0</v>
      </c>
      <c r="BA128" s="195"/>
      <c r="BB128" s="195"/>
      <c r="BC128" s="195"/>
      <c r="BD128" s="195"/>
      <c r="BE128" s="195"/>
      <c r="BF128" s="195"/>
      <c r="BG128" s="195"/>
      <c r="BH128" s="195"/>
      <c r="BI128" s="195"/>
    </row>
    <row r="129" spans="1:61" x14ac:dyDescent="0.25">
      <c r="A129" t="s">
        <v>343</v>
      </c>
      <c r="B129" t="s">
        <v>344</v>
      </c>
      <c r="C129" t="s">
        <v>345</v>
      </c>
      <c r="D129" t="s">
        <v>346</v>
      </c>
      <c r="E129" t="s">
        <v>487</v>
      </c>
      <c r="F129" t="s">
        <v>75</v>
      </c>
      <c r="G129" t="s">
        <v>488</v>
      </c>
      <c r="H129" t="s">
        <v>489</v>
      </c>
      <c r="I129" t="s">
        <v>502</v>
      </c>
      <c r="J129" t="s">
        <v>503</v>
      </c>
      <c r="AG129" t="s">
        <v>649</v>
      </c>
      <c r="AH129" t="s">
        <v>648</v>
      </c>
      <c r="AI129" t="s">
        <v>353</v>
      </c>
      <c r="AJ129" t="s">
        <v>502</v>
      </c>
      <c r="AK129" s="1">
        <v>-168873</v>
      </c>
      <c r="AL129" s="1">
        <v>0</v>
      </c>
      <c r="AM129" s="1">
        <v>-168873</v>
      </c>
      <c r="AN129" s="1">
        <v>-56291</v>
      </c>
      <c r="AO129" s="1">
        <v>0</v>
      </c>
      <c r="AP129" s="1">
        <v>-56291</v>
      </c>
      <c r="AQ129" s="1">
        <v>-60815</v>
      </c>
      <c r="AR129" s="1">
        <v>0</v>
      </c>
      <c r="AS129" s="1">
        <v>-60815</v>
      </c>
      <c r="AT129" s="1">
        <v>0</v>
      </c>
      <c r="BA129" s="195"/>
      <c r="BB129" s="195"/>
      <c r="BC129" s="195"/>
      <c r="BD129" s="195"/>
      <c r="BE129" s="195"/>
      <c r="BF129" s="195"/>
      <c r="BG129" s="195"/>
      <c r="BH129" s="195"/>
      <c r="BI129" s="195"/>
    </row>
    <row r="130" spans="1:61" x14ac:dyDescent="0.25">
      <c r="A130" t="s">
        <v>343</v>
      </c>
      <c r="B130" t="s">
        <v>344</v>
      </c>
      <c r="C130" t="s">
        <v>345</v>
      </c>
      <c r="D130" t="s">
        <v>346</v>
      </c>
      <c r="E130" t="s">
        <v>487</v>
      </c>
      <c r="F130" t="s">
        <v>75</v>
      </c>
      <c r="G130" t="s">
        <v>488</v>
      </c>
      <c r="H130" t="s">
        <v>489</v>
      </c>
      <c r="I130" t="s">
        <v>502</v>
      </c>
      <c r="J130" t="s">
        <v>503</v>
      </c>
      <c r="AG130" t="s">
        <v>650</v>
      </c>
      <c r="AH130" t="s">
        <v>651</v>
      </c>
      <c r="AI130" t="s">
        <v>353</v>
      </c>
      <c r="AJ130" t="s">
        <v>502</v>
      </c>
      <c r="AK130" s="1">
        <v>-1314</v>
      </c>
      <c r="AL130" s="1">
        <v>0</v>
      </c>
      <c r="AM130" s="1">
        <v>-1314</v>
      </c>
      <c r="AN130" s="1">
        <v>-438</v>
      </c>
      <c r="AO130" s="1">
        <v>0</v>
      </c>
      <c r="AP130" s="1">
        <v>-438</v>
      </c>
      <c r="AQ130" s="1">
        <v>0</v>
      </c>
      <c r="AR130" s="1">
        <v>0</v>
      </c>
      <c r="AS130" s="1">
        <v>0</v>
      </c>
      <c r="AT130" s="1">
        <v>0</v>
      </c>
      <c r="BA130" s="195"/>
      <c r="BB130" s="195"/>
      <c r="BC130" s="195"/>
      <c r="BD130" s="195"/>
      <c r="BE130" s="195"/>
      <c r="BF130" s="195"/>
      <c r="BG130" s="195"/>
      <c r="BH130" s="195"/>
      <c r="BI130" s="195"/>
    </row>
    <row r="131" spans="1:61" x14ac:dyDescent="0.25">
      <c r="A131" t="s">
        <v>343</v>
      </c>
      <c r="B131" t="s">
        <v>344</v>
      </c>
      <c r="C131" t="s">
        <v>345</v>
      </c>
      <c r="D131" t="s">
        <v>346</v>
      </c>
      <c r="E131" t="s">
        <v>487</v>
      </c>
      <c r="F131" t="s">
        <v>75</v>
      </c>
      <c r="G131" t="s">
        <v>488</v>
      </c>
      <c r="H131" t="s">
        <v>489</v>
      </c>
      <c r="I131" t="s">
        <v>502</v>
      </c>
      <c r="J131" t="s">
        <v>503</v>
      </c>
      <c r="AG131" t="s">
        <v>652</v>
      </c>
      <c r="AH131" t="s">
        <v>653</v>
      </c>
      <c r="AI131" t="s">
        <v>353</v>
      </c>
      <c r="AJ131" t="s">
        <v>502</v>
      </c>
      <c r="AK131" s="1">
        <v>-1338</v>
      </c>
      <c r="AL131" s="1">
        <v>0</v>
      </c>
      <c r="AM131" s="1">
        <v>-1338</v>
      </c>
      <c r="AN131" s="1">
        <v>-446</v>
      </c>
      <c r="AO131" s="1">
        <v>0</v>
      </c>
      <c r="AP131" s="1">
        <v>-446</v>
      </c>
      <c r="AQ131" s="1">
        <v>-629</v>
      </c>
      <c r="AR131" s="1">
        <v>0</v>
      </c>
      <c r="AS131" s="1">
        <v>-629</v>
      </c>
      <c r="AT131" s="1">
        <v>0</v>
      </c>
      <c r="BA131" s="195"/>
      <c r="BB131" s="195"/>
      <c r="BC131" s="195"/>
      <c r="BD131" s="195"/>
      <c r="BE131" s="195"/>
      <c r="BF131" s="195"/>
      <c r="BG131" s="195"/>
      <c r="BH131" s="195"/>
      <c r="BI131" s="195"/>
    </row>
    <row r="132" spans="1:61" x14ac:dyDescent="0.25">
      <c r="A132" t="s">
        <v>343</v>
      </c>
      <c r="B132" t="s">
        <v>344</v>
      </c>
      <c r="C132" t="s">
        <v>345</v>
      </c>
      <c r="D132" t="s">
        <v>346</v>
      </c>
      <c r="E132" t="s">
        <v>487</v>
      </c>
      <c r="F132" t="s">
        <v>75</v>
      </c>
      <c r="G132" t="s">
        <v>488</v>
      </c>
      <c r="H132" t="s">
        <v>489</v>
      </c>
      <c r="I132" t="s">
        <v>502</v>
      </c>
      <c r="J132" t="s">
        <v>503</v>
      </c>
      <c r="AG132" t="s">
        <v>654</v>
      </c>
      <c r="AH132" t="s">
        <v>655</v>
      </c>
      <c r="AI132" t="s">
        <v>353</v>
      </c>
      <c r="AJ132" t="s">
        <v>502</v>
      </c>
      <c r="AK132" s="1">
        <v>-13386.96</v>
      </c>
      <c r="AL132" s="1">
        <v>0</v>
      </c>
      <c r="AM132" s="1">
        <v>-13386.96</v>
      </c>
      <c r="AN132" s="1">
        <v>-4462.32</v>
      </c>
      <c r="AO132" s="1">
        <v>0</v>
      </c>
      <c r="AP132" s="1">
        <v>-4462.32</v>
      </c>
      <c r="AQ132" s="1">
        <v>-6859.94</v>
      </c>
      <c r="AR132" s="1">
        <v>0</v>
      </c>
      <c r="AS132" s="1">
        <v>-6859.94</v>
      </c>
      <c r="AT132" s="1">
        <v>0</v>
      </c>
      <c r="BA132" s="195"/>
      <c r="BB132" s="195"/>
      <c r="BC132" s="195"/>
      <c r="BD132" s="195"/>
      <c r="BE132" s="195"/>
      <c r="BF132" s="195"/>
      <c r="BG132" s="195"/>
      <c r="BH132" s="195"/>
      <c r="BI132" s="195"/>
    </row>
    <row r="133" spans="1:61" x14ac:dyDescent="0.25">
      <c r="A133" t="s">
        <v>343</v>
      </c>
      <c r="B133" t="s">
        <v>344</v>
      </c>
      <c r="C133" t="s">
        <v>345</v>
      </c>
      <c r="D133" t="s">
        <v>346</v>
      </c>
      <c r="E133" t="s">
        <v>487</v>
      </c>
      <c r="F133" t="s">
        <v>75</v>
      </c>
      <c r="G133" t="s">
        <v>488</v>
      </c>
      <c r="H133" t="s">
        <v>489</v>
      </c>
      <c r="I133" t="s">
        <v>502</v>
      </c>
      <c r="J133" t="s">
        <v>503</v>
      </c>
      <c r="AG133" t="s">
        <v>656</v>
      </c>
      <c r="AH133" t="s">
        <v>657</v>
      </c>
      <c r="AI133" t="s">
        <v>353</v>
      </c>
      <c r="AJ133" t="s">
        <v>502</v>
      </c>
      <c r="AK133" s="1">
        <v>-46236</v>
      </c>
      <c r="AL133" s="1">
        <v>0</v>
      </c>
      <c r="AM133" s="1">
        <v>-46236</v>
      </c>
      <c r="AN133" s="1">
        <v>-15412</v>
      </c>
      <c r="AO133" s="1">
        <v>0</v>
      </c>
      <c r="AP133" s="1">
        <v>-15412</v>
      </c>
      <c r="AQ133" s="1">
        <v>-16741.900000000001</v>
      </c>
      <c r="AR133" s="1">
        <v>0</v>
      </c>
      <c r="AS133" s="1">
        <v>-16741.900000000001</v>
      </c>
      <c r="AT133" s="1">
        <v>0</v>
      </c>
      <c r="BA133" s="195"/>
      <c r="BB133" s="195"/>
      <c r="BC133" s="195"/>
      <c r="BD133" s="195"/>
      <c r="BE133" s="195"/>
      <c r="BF133" s="195"/>
      <c r="BG133" s="195"/>
      <c r="BH133" s="195"/>
      <c r="BI133" s="195"/>
    </row>
    <row r="134" spans="1:61" x14ac:dyDescent="0.25">
      <c r="A134" t="s">
        <v>343</v>
      </c>
      <c r="B134" t="s">
        <v>344</v>
      </c>
      <c r="C134" t="s">
        <v>345</v>
      </c>
      <c r="D134" t="s">
        <v>346</v>
      </c>
      <c r="E134" t="s">
        <v>487</v>
      </c>
      <c r="F134" t="s">
        <v>75</v>
      </c>
      <c r="G134" t="s">
        <v>488</v>
      </c>
      <c r="H134" t="s">
        <v>489</v>
      </c>
      <c r="I134" t="s">
        <v>502</v>
      </c>
      <c r="J134" t="s">
        <v>503</v>
      </c>
      <c r="AG134" t="s">
        <v>658</v>
      </c>
      <c r="AH134" t="s">
        <v>659</v>
      </c>
      <c r="AI134" t="s">
        <v>353</v>
      </c>
      <c r="AJ134" t="s">
        <v>502</v>
      </c>
      <c r="AK134" s="1">
        <v>-37755</v>
      </c>
      <c r="AL134" s="1">
        <v>0</v>
      </c>
      <c r="AM134" s="1">
        <v>-37755</v>
      </c>
      <c r="AN134" s="1">
        <v>-12585</v>
      </c>
      <c r="AO134" s="1">
        <v>0</v>
      </c>
      <c r="AP134" s="1">
        <v>-12585</v>
      </c>
      <c r="AQ134" s="1">
        <v>-10245</v>
      </c>
      <c r="AR134" s="1">
        <v>0</v>
      </c>
      <c r="AS134" s="1">
        <v>-10245</v>
      </c>
      <c r="AT134" s="1">
        <v>0</v>
      </c>
      <c r="BA134" s="195"/>
      <c r="BB134" s="195"/>
      <c r="BC134" s="195"/>
      <c r="BD134" s="195"/>
      <c r="BE134" s="195"/>
      <c r="BF134" s="195"/>
      <c r="BG134" s="195"/>
      <c r="BH134" s="195"/>
      <c r="BI134" s="195"/>
    </row>
    <row r="135" spans="1:61" x14ac:dyDescent="0.25">
      <c r="A135" t="s">
        <v>343</v>
      </c>
      <c r="B135" t="s">
        <v>344</v>
      </c>
      <c r="C135" t="s">
        <v>345</v>
      </c>
      <c r="D135" t="s">
        <v>346</v>
      </c>
      <c r="E135" t="s">
        <v>487</v>
      </c>
      <c r="F135" t="s">
        <v>75</v>
      </c>
      <c r="G135" t="s">
        <v>488</v>
      </c>
      <c r="H135" t="s">
        <v>489</v>
      </c>
      <c r="I135" t="s">
        <v>502</v>
      </c>
      <c r="J135" t="s">
        <v>503</v>
      </c>
      <c r="AG135" t="s">
        <v>660</v>
      </c>
      <c r="AH135" t="s">
        <v>661</v>
      </c>
      <c r="AI135" t="s">
        <v>353</v>
      </c>
      <c r="AJ135" t="s">
        <v>502</v>
      </c>
      <c r="AK135" s="1">
        <v>-9225932.4299999997</v>
      </c>
      <c r="AL135" s="1">
        <v>0</v>
      </c>
      <c r="AM135" s="1">
        <v>-9225932.4299999997</v>
      </c>
      <c r="AN135" s="1">
        <v>-3075310.81</v>
      </c>
      <c r="AO135" s="1">
        <v>0</v>
      </c>
      <c r="AP135" s="1">
        <v>-3075310.81</v>
      </c>
      <c r="AQ135" s="1">
        <v>-3273091.66</v>
      </c>
      <c r="AR135" s="1">
        <v>0</v>
      </c>
      <c r="AS135" s="1">
        <v>-3273091.66</v>
      </c>
      <c r="AT135" s="1">
        <v>0</v>
      </c>
      <c r="BA135" s="195"/>
      <c r="BB135" s="195"/>
      <c r="BC135" s="195"/>
      <c r="BD135" s="195"/>
      <c r="BE135" s="195"/>
      <c r="BF135" s="195"/>
      <c r="BG135" s="195"/>
      <c r="BH135" s="195"/>
      <c r="BI135" s="195"/>
    </row>
    <row r="136" spans="1:61" x14ac:dyDescent="0.25">
      <c r="A136" t="s">
        <v>343</v>
      </c>
      <c r="B136" t="s">
        <v>344</v>
      </c>
      <c r="C136" t="s">
        <v>345</v>
      </c>
      <c r="D136" t="s">
        <v>346</v>
      </c>
      <c r="E136" t="s">
        <v>487</v>
      </c>
      <c r="F136" t="s">
        <v>75</v>
      </c>
      <c r="G136" t="s">
        <v>488</v>
      </c>
      <c r="H136" t="s">
        <v>489</v>
      </c>
      <c r="I136" t="s">
        <v>502</v>
      </c>
      <c r="J136" t="s">
        <v>503</v>
      </c>
      <c r="AG136" t="s">
        <v>662</v>
      </c>
      <c r="AH136" t="s">
        <v>663</v>
      </c>
      <c r="AI136" t="s">
        <v>353</v>
      </c>
      <c r="AJ136" t="s">
        <v>502</v>
      </c>
      <c r="AK136" s="1">
        <v>-205048.23</v>
      </c>
      <c r="AL136" s="1">
        <v>0</v>
      </c>
      <c r="AM136" s="1">
        <v>-205048.23</v>
      </c>
      <c r="AN136" s="1">
        <v>-68349.41</v>
      </c>
      <c r="AO136" s="1">
        <v>0</v>
      </c>
      <c r="AP136" s="1">
        <v>-68349.41</v>
      </c>
      <c r="AQ136" s="1">
        <v>-110238.54</v>
      </c>
      <c r="AR136" s="1">
        <v>0</v>
      </c>
      <c r="AS136" s="1">
        <v>-110238.54</v>
      </c>
      <c r="AT136" s="1">
        <v>0</v>
      </c>
      <c r="BA136" s="195"/>
      <c r="BB136" s="195"/>
      <c r="BC136" s="195"/>
      <c r="BD136" s="195"/>
      <c r="BE136" s="195"/>
      <c r="BF136" s="195"/>
      <c r="BG136" s="195"/>
      <c r="BH136" s="195"/>
      <c r="BI136" s="195"/>
    </row>
    <row r="137" spans="1:61" x14ac:dyDescent="0.25">
      <c r="A137" t="s">
        <v>343</v>
      </c>
      <c r="B137" t="s">
        <v>344</v>
      </c>
      <c r="C137" t="s">
        <v>345</v>
      </c>
      <c r="D137" t="s">
        <v>346</v>
      </c>
      <c r="E137" t="s">
        <v>487</v>
      </c>
      <c r="F137" t="s">
        <v>75</v>
      </c>
      <c r="G137" t="s">
        <v>488</v>
      </c>
      <c r="H137" t="s">
        <v>489</v>
      </c>
      <c r="I137" t="s">
        <v>502</v>
      </c>
      <c r="J137" t="s">
        <v>503</v>
      </c>
      <c r="AG137" t="s">
        <v>664</v>
      </c>
      <c r="AH137" t="s">
        <v>665</v>
      </c>
      <c r="AI137" t="s">
        <v>353</v>
      </c>
      <c r="AJ137" t="s">
        <v>502</v>
      </c>
      <c r="AK137" s="1">
        <v>-948083.61</v>
      </c>
      <c r="AL137" s="1">
        <v>0</v>
      </c>
      <c r="AM137" s="1">
        <v>-948083.61</v>
      </c>
      <c r="AN137" s="1">
        <v>-316027.87</v>
      </c>
      <c r="AO137" s="1">
        <v>0</v>
      </c>
      <c r="AP137" s="1">
        <v>-316027.87</v>
      </c>
      <c r="AQ137" s="1">
        <v>-271959</v>
      </c>
      <c r="AR137" s="1">
        <v>0</v>
      </c>
      <c r="AS137" s="1">
        <v>-271959</v>
      </c>
      <c r="AT137" s="1">
        <v>0</v>
      </c>
      <c r="BA137" s="195"/>
      <c r="BB137" s="195"/>
      <c r="BC137" s="195"/>
      <c r="BD137" s="195"/>
      <c r="BE137" s="195"/>
      <c r="BF137" s="195"/>
      <c r="BG137" s="195"/>
      <c r="BH137" s="195"/>
      <c r="BI137" s="195"/>
    </row>
    <row r="138" spans="1:61" x14ac:dyDescent="0.25">
      <c r="A138" t="s">
        <v>343</v>
      </c>
      <c r="B138" t="s">
        <v>344</v>
      </c>
      <c r="C138" t="s">
        <v>345</v>
      </c>
      <c r="D138" t="s">
        <v>346</v>
      </c>
      <c r="E138" t="s">
        <v>487</v>
      </c>
      <c r="F138" t="s">
        <v>75</v>
      </c>
      <c r="G138" t="s">
        <v>488</v>
      </c>
      <c r="H138" t="s">
        <v>489</v>
      </c>
      <c r="I138" t="s">
        <v>502</v>
      </c>
      <c r="J138" t="s">
        <v>503</v>
      </c>
      <c r="AG138" t="s">
        <v>666</v>
      </c>
      <c r="AH138" t="s">
        <v>667</v>
      </c>
      <c r="AI138" t="s">
        <v>353</v>
      </c>
      <c r="AJ138" t="s">
        <v>502</v>
      </c>
      <c r="AK138" s="1">
        <v>2374.35</v>
      </c>
      <c r="AL138" s="1">
        <v>0</v>
      </c>
      <c r="AM138" s="1">
        <v>2374.35</v>
      </c>
      <c r="AN138" s="1">
        <v>791.45</v>
      </c>
      <c r="AO138" s="1">
        <v>0</v>
      </c>
      <c r="AP138" s="1">
        <v>791.45</v>
      </c>
      <c r="AQ138" s="1">
        <v>2192.36</v>
      </c>
      <c r="AR138" s="1">
        <v>0</v>
      </c>
      <c r="AS138" s="1">
        <v>2192.36</v>
      </c>
      <c r="AT138" s="1">
        <v>0</v>
      </c>
      <c r="BA138" s="195"/>
      <c r="BB138" s="195"/>
      <c r="BC138" s="195"/>
      <c r="BD138" s="195"/>
      <c r="BE138" s="195"/>
      <c r="BF138" s="195"/>
      <c r="BG138" s="195"/>
      <c r="BH138" s="195"/>
      <c r="BI138" s="195"/>
    </row>
    <row r="139" spans="1:61" x14ac:dyDescent="0.25">
      <c r="A139" t="s">
        <v>343</v>
      </c>
      <c r="B139" t="s">
        <v>344</v>
      </c>
      <c r="C139" t="s">
        <v>345</v>
      </c>
      <c r="D139" t="s">
        <v>346</v>
      </c>
      <c r="E139" t="s">
        <v>487</v>
      </c>
      <c r="F139" t="s">
        <v>75</v>
      </c>
      <c r="G139" t="s">
        <v>488</v>
      </c>
      <c r="H139" t="s">
        <v>489</v>
      </c>
      <c r="I139" t="s">
        <v>502</v>
      </c>
      <c r="J139" t="s">
        <v>503</v>
      </c>
      <c r="AG139" t="s">
        <v>668</v>
      </c>
      <c r="AH139" t="s">
        <v>669</v>
      </c>
      <c r="AI139" t="s">
        <v>353</v>
      </c>
      <c r="AJ139" t="s">
        <v>502</v>
      </c>
      <c r="AK139" s="1">
        <v>-24120.39</v>
      </c>
      <c r="AL139" s="1">
        <v>0</v>
      </c>
      <c r="AM139" s="1">
        <v>-24120.39</v>
      </c>
      <c r="AN139" s="1">
        <v>-8040.13</v>
      </c>
      <c r="AO139" s="1">
        <v>0</v>
      </c>
      <c r="AP139" s="1">
        <v>-8040.13</v>
      </c>
      <c r="AQ139" s="1">
        <v>-61300</v>
      </c>
      <c r="AR139" s="1">
        <v>0</v>
      </c>
      <c r="AS139" s="1">
        <v>-61300</v>
      </c>
      <c r="AT139" s="1">
        <v>0</v>
      </c>
      <c r="BA139" s="195"/>
      <c r="BB139" s="195"/>
      <c r="BC139" s="195"/>
      <c r="BD139" s="195"/>
      <c r="BE139" s="195"/>
      <c r="BF139" s="195"/>
      <c r="BG139" s="195"/>
      <c r="BH139" s="195"/>
      <c r="BI139" s="195"/>
    </row>
    <row r="140" spans="1:61" x14ac:dyDescent="0.25">
      <c r="A140" t="s">
        <v>343</v>
      </c>
      <c r="B140" t="s">
        <v>344</v>
      </c>
      <c r="C140" t="s">
        <v>345</v>
      </c>
      <c r="D140" t="s">
        <v>346</v>
      </c>
      <c r="E140" t="s">
        <v>487</v>
      </c>
      <c r="F140" t="s">
        <v>75</v>
      </c>
      <c r="G140" t="s">
        <v>488</v>
      </c>
      <c r="H140" t="s">
        <v>489</v>
      </c>
      <c r="I140" t="s">
        <v>502</v>
      </c>
      <c r="J140" t="s">
        <v>503</v>
      </c>
      <c r="AG140" t="s">
        <v>670</v>
      </c>
      <c r="AH140" t="s">
        <v>671</v>
      </c>
      <c r="AI140" t="s">
        <v>353</v>
      </c>
      <c r="AJ140" t="s">
        <v>502</v>
      </c>
      <c r="AK140" s="1">
        <v>-141000</v>
      </c>
      <c r="AL140" s="1">
        <v>0</v>
      </c>
      <c r="AM140" s="1">
        <v>-141000</v>
      </c>
      <c r="AN140" s="1">
        <v>-47000</v>
      </c>
      <c r="AO140" s="1">
        <v>0</v>
      </c>
      <c r="AP140" s="1">
        <v>-47000</v>
      </c>
      <c r="AQ140" s="1">
        <v>-71600</v>
      </c>
      <c r="AR140" s="1">
        <v>0</v>
      </c>
      <c r="AS140" s="1">
        <v>-71600</v>
      </c>
      <c r="AT140" s="1">
        <v>0</v>
      </c>
      <c r="BA140" s="195"/>
      <c r="BB140" s="195"/>
      <c r="BC140" s="195"/>
      <c r="BD140" s="195"/>
      <c r="BE140" s="195"/>
      <c r="BF140" s="195"/>
      <c r="BG140" s="195"/>
      <c r="BH140" s="195"/>
      <c r="BI140" s="195"/>
    </row>
    <row r="141" spans="1:61" x14ac:dyDescent="0.25">
      <c r="A141" t="s">
        <v>343</v>
      </c>
      <c r="B141" t="s">
        <v>344</v>
      </c>
      <c r="C141" t="s">
        <v>345</v>
      </c>
      <c r="D141" t="s">
        <v>346</v>
      </c>
      <c r="E141" t="s">
        <v>487</v>
      </c>
      <c r="F141" t="s">
        <v>75</v>
      </c>
      <c r="G141" t="s">
        <v>488</v>
      </c>
      <c r="H141" t="s">
        <v>489</v>
      </c>
      <c r="I141" t="s">
        <v>502</v>
      </c>
      <c r="J141" t="s">
        <v>503</v>
      </c>
      <c r="AG141" t="s">
        <v>672</v>
      </c>
      <c r="AH141" t="s">
        <v>673</v>
      </c>
      <c r="AI141" t="s">
        <v>353</v>
      </c>
      <c r="AJ141" t="s">
        <v>502</v>
      </c>
      <c r="AK141" s="1">
        <v>-1476651.18</v>
      </c>
      <c r="AL141" s="1">
        <v>0</v>
      </c>
      <c r="AM141" s="1">
        <v>-1476651.18</v>
      </c>
      <c r="AN141" s="1">
        <v>-492217.06</v>
      </c>
      <c r="AO141" s="1">
        <v>0</v>
      </c>
      <c r="AP141" s="1">
        <v>-492217.06</v>
      </c>
      <c r="AQ141" s="1">
        <v>-478729.65</v>
      </c>
      <c r="AR141" s="1">
        <v>0</v>
      </c>
      <c r="AS141" s="1">
        <v>-478729.65</v>
      </c>
      <c r="AT141" s="1">
        <v>0</v>
      </c>
      <c r="BA141" s="195"/>
      <c r="BB141" s="195"/>
      <c r="BC141" s="195"/>
      <c r="BD141" s="195"/>
      <c r="BE141" s="195"/>
      <c r="BF141" s="195"/>
      <c r="BG141" s="195"/>
      <c r="BH141" s="195"/>
      <c r="BI141" s="195"/>
    </row>
    <row r="142" spans="1:61" x14ac:dyDescent="0.25">
      <c r="A142" t="s">
        <v>343</v>
      </c>
      <c r="B142" t="s">
        <v>344</v>
      </c>
      <c r="C142" t="s">
        <v>345</v>
      </c>
      <c r="D142" t="s">
        <v>346</v>
      </c>
      <c r="E142" t="s">
        <v>487</v>
      </c>
      <c r="F142" t="s">
        <v>75</v>
      </c>
      <c r="G142" t="s">
        <v>488</v>
      </c>
      <c r="H142" t="s">
        <v>489</v>
      </c>
      <c r="I142" t="s">
        <v>502</v>
      </c>
      <c r="J142" t="s">
        <v>503</v>
      </c>
      <c r="AG142" t="s">
        <v>674</v>
      </c>
      <c r="AH142" t="s">
        <v>675</v>
      </c>
      <c r="AI142" t="s">
        <v>353</v>
      </c>
      <c r="AJ142" t="s">
        <v>502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-5522</v>
      </c>
      <c r="AR142" s="1">
        <v>0</v>
      </c>
      <c r="AS142" s="1">
        <v>-5522</v>
      </c>
      <c r="AT142" s="1">
        <v>0</v>
      </c>
      <c r="BA142" s="195"/>
      <c r="BB142" s="195"/>
      <c r="BC142" s="195"/>
      <c r="BD142" s="195"/>
      <c r="BE142" s="195"/>
      <c r="BF142" s="195"/>
      <c r="BG142" s="195"/>
      <c r="BH142" s="195"/>
      <c r="BI142" s="195"/>
    </row>
    <row r="143" spans="1:61" x14ac:dyDescent="0.25">
      <c r="A143" t="s">
        <v>343</v>
      </c>
      <c r="B143" t="s">
        <v>344</v>
      </c>
      <c r="C143" t="s">
        <v>345</v>
      </c>
      <c r="D143" t="s">
        <v>346</v>
      </c>
      <c r="E143" t="s">
        <v>487</v>
      </c>
      <c r="F143" t="s">
        <v>75</v>
      </c>
      <c r="G143" t="s">
        <v>488</v>
      </c>
      <c r="H143" t="s">
        <v>489</v>
      </c>
      <c r="I143" t="s">
        <v>502</v>
      </c>
      <c r="J143" t="s">
        <v>503</v>
      </c>
      <c r="AG143" t="s">
        <v>676</v>
      </c>
      <c r="AH143" t="s">
        <v>677</v>
      </c>
      <c r="AI143" t="s">
        <v>353</v>
      </c>
      <c r="AJ143" t="s">
        <v>502</v>
      </c>
      <c r="AK143" s="1">
        <v>-1372920.78</v>
      </c>
      <c r="AL143" s="1">
        <v>0</v>
      </c>
      <c r="AM143" s="1">
        <v>-1372920.78</v>
      </c>
      <c r="AN143" s="1">
        <v>-457640.26</v>
      </c>
      <c r="AO143" s="1">
        <v>0</v>
      </c>
      <c r="AP143" s="1">
        <v>-457640.26</v>
      </c>
      <c r="AQ143" s="1">
        <v>-521385.41</v>
      </c>
      <c r="AR143" s="1">
        <v>0</v>
      </c>
      <c r="AS143" s="1">
        <v>-521385.41</v>
      </c>
      <c r="AT143" s="1">
        <v>0</v>
      </c>
      <c r="BA143" s="195"/>
      <c r="BB143" s="195"/>
      <c r="BC143" s="195"/>
      <c r="BD143" s="195"/>
      <c r="BE143" s="195"/>
      <c r="BF143" s="195"/>
      <c r="BG143" s="195"/>
      <c r="BH143" s="195"/>
      <c r="BI143" s="195"/>
    </row>
    <row r="144" spans="1:61" x14ac:dyDescent="0.25">
      <c r="A144" t="s">
        <v>343</v>
      </c>
      <c r="B144" t="s">
        <v>344</v>
      </c>
      <c r="C144" t="s">
        <v>345</v>
      </c>
      <c r="D144" t="s">
        <v>346</v>
      </c>
      <c r="E144" t="s">
        <v>487</v>
      </c>
      <c r="F144" t="s">
        <v>75</v>
      </c>
      <c r="G144" t="s">
        <v>488</v>
      </c>
      <c r="H144" t="s">
        <v>489</v>
      </c>
      <c r="I144" t="s">
        <v>502</v>
      </c>
      <c r="J144" t="s">
        <v>503</v>
      </c>
      <c r="AG144" t="s">
        <v>678</v>
      </c>
      <c r="AH144" t="s">
        <v>679</v>
      </c>
      <c r="AI144" t="s">
        <v>353</v>
      </c>
      <c r="AJ144" t="s">
        <v>502</v>
      </c>
      <c r="AK144" s="1">
        <v>1044.75</v>
      </c>
      <c r="AL144" s="1">
        <v>0</v>
      </c>
      <c r="AM144" s="1">
        <v>1044.75</v>
      </c>
      <c r="AN144" s="1">
        <v>348.25</v>
      </c>
      <c r="AO144" s="1">
        <v>0</v>
      </c>
      <c r="AP144" s="1">
        <v>348.25</v>
      </c>
      <c r="AQ144" s="1">
        <v>964.59</v>
      </c>
      <c r="AR144" s="1">
        <v>0</v>
      </c>
      <c r="AS144" s="1">
        <v>964.59</v>
      </c>
      <c r="AT144" s="1">
        <v>0</v>
      </c>
      <c r="BA144" s="195"/>
      <c r="BB144" s="195"/>
      <c r="BC144" s="195"/>
      <c r="BD144" s="195"/>
      <c r="BE144" s="195"/>
      <c r="BF144" s="195"/>
      <c r="BG144" s="195"/>
      <c r="BH144" s="195"/>
      <c r="BI144" s="195"/>
    </row>
    <row r="145" spans="1:61" x14ac:dyDescent="0.25">
      <c r="A145" t="s">
        <v>343</v>
      </c>
      <c r="B145" t="s">
        <v>344</v>
      </c>
      <c r="C145" t="s">
        <v>345</v>
      </c>
      <c r="D145" t="s">
        <v>346</v>
      </c>
      <c r="E145" t="s">
        <v>487</v>
      </c>
      <c r="F145" t="s">
        <v>75</v>
      </c>
      <c r="G145" t="s">
        <v>488</v>
      </c>
      <c r="H145" t="s">
        <v>489</v>
      </c>
      <c r="I145" t="s">
        <v>502</v>
      </c>
      <c r="J145" t="s">
        <v>503</v>
      </c>
      <c r="AG145" t="s">
        <v>680</v>
      </c>
      <c r="AH145" t="s">
        <v>681</v>
      </c>
      <c r="AI145" t="s">
        <v>353</v>
      </c>
      <c r="AJ145" t="s">
        <v>502</v>
      </c>
      <c r="AK145" s="1">
        <v>-477620.79</v>
      </c>
      <c r="AL145" s="1">
        <v>0</v>
      </c>
      <c r="AM145" s="1">
        <v>-477620.79</v>
      </c>
      <c r="AN145" s="1">
        <v>-159206.93</v>
      </c>
      <c r="AO145" s="1">
        <v>0</v>
      </c>
      <c r="AP145" s="1">
        <v>-159206.93</v>
      </c>
      <c r="AQ145" s="1">
        <v>-164739.63</v>
      </c>
      <c r="AR145" s="1">
        <v>0</v>
      </c>
      <c r="AS145" s="1">
        <v>-164739.63</v>
      </c>
      <c r="AT145" s="1">
        <v>0</v>
      </c>
      <c r="BA145" s="195"/>
      <c r="BB145" s="195"/>
      <c r="BC145" s="195"/>
      <c r="BD145" s="195"/>
      <c r="BE145" s="195"/>
      <c r="BF145" s="195"/>
      <c r="BG145" s="195"/>
      <c r="BH145" s="195"/>
      <c r="BI145" s="195"/>
    </row>
    <row r="146" spans="1:61" x14ac:dyDescent="0.25">
      <c r="A146" t="s">
        <v>343</v>
      </c>
      <c r="B146" t="s">
        <v>344</v>
      </c>
      <c r="C146" t="s">
        <v>345</v>
      </c>
      <c r="D146" t="s">
        <v>346</v>
      </c>
      <c r="E146" t="s">
        <v>487</v>
      </c>
      <c r="F146" t="s">
        <v>75</v>
      </c>
      <c r="G146" t="s">
        <v>488</v>
      </c>
      <c r="H146" t="s">
        <v>489</v>
      </c>
      <c r="I146" t="s">
        <v>502</v>
      </c>
      <c r="J146" t="s">
        <v>503</v>
      </c>
      <c r="AG146" t="s">
        <v>682</v>
      </c>
      <c r="AH146" t="s">
        <v>683</v>
      </c>
      <c r="AI146" t="s">
        <v>353</v>
      </c>
      <c r="AJ146" t="s">
        <v>502</v>
      </c>
      <c r="AK146" s="1">
        <v>-340850.04</v>
      </c>
      <c r="AL146" s="1">
        <v>0</v>
      </c>
      <c r="AM146" s="1">
        <v>-340850.04</v>
      </c>
      <c r="AN146" s="1">
        <v>-113616.68</v>
      </c>
      <c r="AO146" s="1">
        <v>0</v>
      </c>
      <c r="AP146" s="1">
        <v>-113616.68</v>
      </c>
      <c r="AQ146" s="1">
        <v>-118049.99</v>
      </c>
      <c r="AR146" s="1">
        <v>0</v>
      </c>
      <c r="AS146" s="1">
        <v>-118049.99</v>
      </c>
      <c r="AT146" s="1">
        <v>0</v>
      </c>
      <c r="BA146" s="195"/>
      <c r="BB146" s="195"/>
      <c r="BC146" s="195"/>
      <c r="BD146" s="195"/>
      <c r="BE146" s="195"/>
      <c r="BF146" s="195"/>
      <c r="BG146" s="195"/>
      <c r="BH146" s="195"/>
      <c r="BI146" s="195"/>
    </row>
    <row r="147" spans="1:61" x14ac:dyDescent="0.25">
      <c r="A147" t="s">
        <v>343</v>
      </c>
      <c r="B147" t="s">
        <v>344</v>
      </c>
      <c r="C147" t="s">
        <v>345</v>
      </c>
      <c r="D147" t="s">
        <v>346</v>
      </c>
      <c r="E147" t="s">
        <v>487</v>
      </c>
      <c r="F147" t="s">
        <v>75</v>
      </c>
      <c r="G147" t="s">
        <v>488</v>
      </c>
      <c r="H147" t="s">
        <v>489</v>
      </c>
      <c r="I147" t="s">
        <v>502</v>
      </c>
      <c r="J147" t="s">
        <v>503</v>
      </c>
      <c r="AG147" t="s">
        <v>684</v>
      </c>
      <c r="AH147" t="s">
        <v>685</v>
      </c>
      <c r="AI147" t="s">
        <v>353</v>
      </c>
      <c r="AJ147" t="s">
        <v>502</v>
      </c>
      <c r="AK147" s="1">
        <v>-107403.06</v>
      </c>
      <c r="AL147" s="1">
        <v>0</v>
      </c>
      <c r="AM147" s="1">
        <v>-107403.06</v>
      </c>
      <c r="AN147" s="1">
        <v>-35801.019999999997</v>
      </c>
      <c r="AO147" s="1">
        <v>0</v>
      </c>
      <c r="AP147" s="1">
        <v>-35801.019999999997</v>
      </c>
      <c r="AQ147" s="1">
        <v>-36793.81</v>
      </c>
      <c r="AR147" s="1">
        <v>0</v>
      </c>
      <c r="AS147" s="1">
        <v>-36793.81</v>
      </c>
      <c r="AT147" s="1">
        <v>0</v>
      </c>
      <c r="BA147" s="195"/>
      <c r="BB147" s="195"/>
      <c r="BC147" s="195"/>
      <c r="BD147" s="195"/>
      <c r="BE147" s="195"/>
      <c r="BF147" s="195"/>
      <c r="BG147" s="195"/>
      <c r="BH147" s="195"/>
      <c r="BI147" s="195"/>
    </row>
    <row r="148" spans="1:61" x14ac:dyDescent="0.25">
      <c r="A148" t="s">
        <v>343</v>
      </c>
      <c r="B148" t="s">
        <v>344</v>
      </c>
      <c r="C148" t="s">
        <v>345</v>
      </c>
      <c r="D148" t="s">
        <v>346</v>
      </c>
      <c r="E148" t="s">
        <v>487</v>
      </c>
      <c r="F148" t="s">
        <v>75</v>
      </c>
      <c r="G148" t="s">
        <v>488</v>
      </c>
      <c r="H148" t="s">
        <v>489</v>
      </c>
      <c r="I148" t="s">
        <v>502</v>
      </c>
      <c r="J148" t="s">
        <v>503</v>
      </c>
      <c r="AG148" t="s">
        <v>686</v>
      </c>
      <c r="AH148" t="s">
        <v>687</v>
      </c>
      <c r="AI148" t="s">
        <v>353</v>
      </c>
      <c r="AJ148" t="s">
        <v>502</v>
      </c>
      <c r="AK148" s="1">
        <v>-120533.49</v>
      </c>
      <c r="AL148" s="1">
        <v>0</v>
      </c>
      <c r="AM148" s="1">
        <v>-120533.49</v>
      </c>
      <c r="AN148" s="1">
        <v>-40177.83</v>
      </c>
      <c r="AO148" s="1">
        <v>0</v>
      </c>
      <c r="AP148" s="1">
        <v>-40177.83</v>
      </c>
      <c r="AQ148" s="1">
        <v>-38975.730000000003</v>
      </c>
      <c r="AR148" s="1">
        <v>0</v>
      </c>
      <c r="AS148" s="1">
        <v>-38975.730000000003</v>
      </c>
      <c r="AT148" s="1">
        <v>0</v>
      </c>
      <c r="BA148" s="195"/>
      <c r="BB148" s="195"/>
      <c r="BC148" s="195"/>
      <c r="BD148" s="195"/>
      <c r="BE148" s="195"/>
      <c r="BF148" s="195"/>
      <c r="BG148" s="195"/>
      <c r="BH148" s="195"/>
      <c r="BI148" s="195"/>
    </row>
    <row r="149" spans="1:61" x14ac:dyDescent="0.25">
      <c r="A149" t="s">
        <v>343</v>
      </c>
      <c r="B149" t="s">
        <v>344</v>
      </c>
      <c r="C149" t="s">
        <v>345</v>
      </c>
      <c r="D149" t="s">
        <v>346</v>
      </c>
      <c r="E149" t="s">
        <v>487</v>
      </c>
      <c r="F149" t="s">
        <v>75</v>
      </c>
      <c r="G149" t="s">
        <v>488</v>
      </c>
      <c r="H149" t="s">
        <v>489</v>
      </c>
      <c r="I149" t="s">
        <v>502</v>
      </c>
      <c r="J149" t="s">
        <v>503</v>
      </c>
      <c r="AG149" t="s">
        <v>688</v>
      </c>
      <c r="AH149" t="s">
        <v>689</v>
      </c>
      <c r="AI149" t="s">
        <v>353</v>
      </c>
      <c r="AJ149" t="s">
        <v>502</v>
      </c>
      <c r="AK149" s="1">
        <v>-446929.44</v>
      </c>
      <c r="AL149" s="1">
        <v>0</v>
      </c>
      <c r="AM149" s="1">
        <v>-446929.44</v>
      </c>
      <c r="AN149" s="1">
        <v>-148976.48000000001</v>
      </c>
      <c r="AO149" s="1">
        <v>0</v>
      </c>
      <c r="AP149" s="1">
        <v>-148976.48000000001</v>
      </c>
      <c r="AQ149" s="1">
        <v>-155107.07</v>
      </c>
      <c r="AR149" s="1">
        <v>0</v>
      </c>
      <c r="AS149" s="1">
        <v>-155107.07</v>
      </c>
      <c r="AT149" s="1">
        <v>0</v>
      </c>
      <c r="BA149" s="195"/>
      <c r="BB149" s="195"/>
      <c r="BC149" s="195"/>
      <c r="BD149" s="195"/>
      <c r="BE149" s="195"/>
      <c r="BF149" s="195"/>
      <c r="BG149" s="195"/>
      <c r="BH149" s="195"/>
      <c r="BI149" s="195"/>
    </row>
    <row r="150" spans="1:61" x14ac:dyDescent="0.25">
      <c r="A150" t="s">
        <v>343</v>
      </c>
      <c r="B150" t="s">
        <v>344</v>
      </c>
      <c r="C150" t="s">
        <v>345</v>
      </c>
      <c r="D150" t="s">
        <v>346</v>
      </c>
      <c r="E150" t="s">
        <v>487</v>
      </c>
      <c r="F150" t="s">
        <v>75</v>
      </c>
      <c r="G150" t="s">
        <v>488</v>
      </c>
      <c r="H150" t="s">
        <v>489</v>
      </c>
      <c r="I150" t="s">
        <v>502</v>
      </c>
      <c r="J150" t="s">
        <v>503</v>
      </c>
      <c r="AG150" t="s">
        <v>690</v>
      </c>
      <c r="AH150" t="s">
        <v>691</v>
      </c>
      <c r="AI150" t="s">
        <v>353</v>
      </c>
      <c r="AJ150" t="s">
        <v>502</v>
      </c>
      <c r="AK150" s="1">
        <v>-79390.98</v>
      </c>
      <c r="AL150" s="1">
        <v>0</v>
      </c>
      <c r="AM150" s="1">
        <v>-79390.98</v>
      </c>
      <c r="AN150" s="1">
        <v>-26463.66</v>
      </c>
      <c r="AO150" s="1">
        <v>0</v>
      </c>
      <c r="AP150" s="1">
        <v>-26463.66</v>
      </c>
      <c r="AQ150" s="1">
        <v>-19888.68</v>
      </c>
      <c r="AR150" s="1">
        <v>0</v>
      </c>
      <c r="AS150" s="1">
        <v>-19888.68</v>
      </c>
      <c r="AT150" s="1">
        <v>0</v>
      </c>
      <c r="BA150" s="195"/>
      <c r="BB150" s="195"/>
      <c r="BC150" s="195"/>
      <c r="BD150" s="195"/>
      <c r="BE150" s="195"/>
      <c r="BF150" s="195"/>
      <c r="BG150" s="195"/>
      <c r="BH150" s="195"/>
      <c r="BI150" s="195"/>
    </row>
    <row r="151" spans="1:61" x14ac:dyDescent="0.25">
      <c r="A151" t="s">
        <v>343</v>
      </c>
      <c r="B151" t="s">
        <v>344</v>
      </c>
      <c r="C151" t="s">
        <v>345</v>
      </c>
      <c r="D151" t="s">
        <v>346</v>
      </c>
      <c r="E151" t="s">
        <v>487</v>
      </c>
      <c r="F151" t="s">
        <v>75</v>
      </c>
      <c r="G151" t="s">
        <v>488</v>
      </c>
      <c r="H151" t="s">
        <v>489</v>
      </c>
      <c r="I151" t="s">
        <v>502</v>
      </c>
      <c r="J151" t="s">
        <v>503</v>
      </c>
      <c r="AG151" t="s">
        <v>692</v>
      </c>
      <c r="AH151" t="s">
        <v>693</v>
      </c>
      <c r="AI151" t="s">
        <v>353</v>
      </c>
      <c r="AJ151" t="s">
        <v>502</v>
      </c>
      <c r="AK151" s="1">
        <v>-13257.24</v>
      </c>
      <c r="AL151" s="1">
        <v>0</v>
      </c>
      <c r="AM151" s="1">
        <v>-13257.24</v>
      </c>
      <c r="AN151" s="1">
        <v>-4419.08</v>
      </c>
      <c r="AO151" s="1">
        <v>0</v>
      </c>
      <c r="AP151" s="1">
        <v>-4419.08</v>
      </c>
      <c r="AQ151" s="1">
        <v>-4838.63</v>
      </c>
      <c r="AR151" s="1">
        <v>0</v>
      </c>
      <c r="AS151" s="1">
        <v>-4838.63</v>
      </c>
      <c r="AT151" s="1">
        <v>0</v>
      </c>
      <c r="BA151" s="195"/>
      <c r="BB151" s="195"/>
      <c r="BC151" s="195"/>
      <c r="BD151" s="195"/>
      <c r="BE151" s="195"/>
      <c r="BF151" s="195"/>
      <c r="BG151" s="195"/>
      <c r="BH151" s="195"/>
      <c r="BI151" s="195"/>
    </row>
    <row r="152" spans="1:61" x14ac:dyDescent="0.25">
      <c r="A152" t="s">
        <v>343</v>
      </c>
      <c r="B152" t="s">
        <v>344</v>
      </c>
      <c r="C152" t="s">
        <v>345</v>
      </c>
      <c r="D152" t="s">
        <v>346</v>
      </c>
      <c r="E152" t="s">
        <v>487</v>
      </c>
      <c r="F152" t="s">
        <v>75</v>
      </c>
      <c r="G152" t="s">
        <v>488</v>
      </c>
      <c r="H152" t="s">
        <v>489</v>
      </c>
      <c r="I152" t="s">
        <v>502</v>
      </c>
      <c r="J152" t="s">
        <v>503</v>
      </c>
      <c r="AG152" t="s">
        <v>694</v>
      </c>
      <c r="AH152" t="s">
        <v>695</v>
      </c>
      <c r="AI152" t="s">
        <v>353</v>
      </c>
      <c r="AJ152" t="s">
        <v>502</v>
      </c>
      <c r="AK152" s="1">
        <v>-106139.4</v>
      </c>
      <c r="AL152" s="1">
        <v>0</v>
      </c>
      <c r="AM152" s="1">
        <v>-106139.4</v>
      </c>
      <c r="AN152" s="1">
        <v>-35379.800000000003</v>
      </c>
      <c r="AO152" s="1">
        <v>0</v>
      </c>
      <c r="AP152" s="1">
        <v>-35379.800000000003</v>
      </c>
      <c r="AQ152" s="1">
        <v>-31361.8</v>
      </c>
      <c r="AR152" s="1">
        <v>0</v>
      </c>
      <c r="AS152" s="1">
        <v>-31361.8</v>
      </c>
      <c r="AT152" s="1">
        <v>0</v>
      </c>
      <c r="BA152" s="195"/>
      <c r="BB152" s="195"/>
      <c r="BC152" s="195"/>
      <c r="BD152" s="195"/>
      <c r="BE152" s="195"/>
      <c r="BF152" s="195"/>
      <c r="BG152" s="195"/>
      <c r="BH152" s="195"/>
      <c r="BI152" s="195"/>
    </row>
    <row r="153" spans="1:61" x14ac:dyDescent="0.25">
      <c r="A153" t="s">
        <v>343</v>
      </c>
      <c r="B153" t="s">
        <v>344</v>
      </c>
      <c r="C153" t="s">
        <v>345</v>
      </c>
      <c r="D153" t="s">
        <v>346</v>
      </c>
      <c r="E153" t="s">
        <v>487</v>
      </c>
      <c r="F153" t="s">
        <v>75</v>
      </c>
      <c r="G153" t="s">
        <v>488</v>
      </c>
      <c r="H153" t="s">
        <v>489</v>
      </c>
      <c r="I153" t="s">
        <v>502</v>
      </c>
      <c r="J153" t="s">
        <v>503</v>
      </c>
      <c r="AG153" t="s">
        <v>696</v>
      </c>
      <c r="AH153" t="s">
        <v>697</v>
      </c>
      <c r="AI153" t="s">
        <v>353</v>
      </c>
      <c r="AJ153" t="s">
        <v>502</v>
      </c>
      <c r="AK153" s="1">
        <v>-18945</v>
      </c>
      <c r="AL153" s="1">
        <v>0</v>
      </c>
      <c r="AM153" s="1">
        <v>-18945</v>
      </c>
      <c r="AN153" s="1">
        <v>-6315</v>
      </c>
      <c r="AO153" s="1">
        <v>0</v>
      </c>
      <c r="AP153" s="1">
        <v>-6315</v>
      </c>
      <c r="AQ153" s="1">
        <v>-9428.26</v>
      </c>
      <c r="AR153" s="1">
        <v>0</v>
      </c>
      <c r="AS153" s="1">
        <v>-9428.26</v>
      </c>
      <c r="AT153" s="1">
        <v>0</v>
      </c>
      <c r="BA153" s="195"/>
      <c r="BB153" s="195"/>
      <c r="BC153" s="195"/>
      <c r="BD153" s="195"/>
      <c r="BE153" s="195"/>
      <c r="BF153" s="195"/>
      <c r="BG153" s="195"/>
      <c r="BH153" s="195"/>
      <c r="BI153" s="195"/>
    </row>
    <row r="154" spans="1:61" x14ac:dyDescent="0.25">
      <c r="A154" t="s">
        <v>343</v>
      </c>
      <c r="B154" t="s">
        <v>344</v>
      </c>
      <c r="C154" t="s">
        <v>345</v>
      </c>
      <c r="D154" t="s">
        <v>346</v>
      </c>
      <c r="E154" t="s">
        <v>487</v>
      </c>
      <c r="F154" t="s">
        <v>75</v>
      </c>
      <c r="G154" t="s">
        <v>488</v>
      </c>
      <c r="H154" t="s">
        <v>489</v>
      </c>
      <c r="I154" t="s">
        <v>502</v>
      </c>
      <c r="J154" t="s">
        <v>503</v>
      </c>
      <c r="AG154" t="s">
        <v>698</v>
      </c>
      <c r="AH154" t="s">
        <v>699</v>
      </c>
      <c r="AI154" t="s">
        <v>353</v>
      </c>
      <c r="AJ154" t="s">
        <v>502</v>
      </c>
      <c r="AK154" s="1">
        <v>-860.31</v>
      </c>
      <c r="AL154" s="1">
        <v>0</v>
      </c>
      <c r="AM154" s="1">
        <v>-860.31</v>
      </c>
      <c r="AN154" s="1">
        <v>-286.77</v>
      </c>
      <c r="AO154" s="1">
        <v>0</v>
      </c>
      <c r="AP154" s="1">
        <v>-286.77</v>
      </c>
      <c r="AQ154" s="1">
        <v>0</v>
      </c>
      <c r="AR154" s="1">
        <v>0</v>
      </c>
      <c r="AS154" s="1">
        <v>0</v>
      </c>
      <c r="AT154" s="1">
        <v>0</v>
      </c>
      <c r="BA154" s="195"/>
      <c r="BB154" s="195"/>
      <c r="BC154" s="195"/>
      <c r="BD154" s="195"/>
      <c r="BE154" s="195"/>
      <c r="BF154" s="195"/>
      <c r="BG154" s="195"/>
      <c r="BH154" s="195"/>
      <c r="BI154" s="195"/>
    </row>
    <row r="155" spans="1:61" x14ac:dyDescent="0.25">
      <c r="A155" t="s">
        <v>343</v>
      </c>
      <c r="B155" t="s">
        <v>344</v>
      </c>
      <c r="C155" t="s">
        <v>345</v>
      </c>
      <c r="D155" t="s">
        <v>346</v>
      </c>
      <c r="E155" t="s">
        <v>487</v>
      </c>
      <c r="F155" t="s">
        <v>75</v>
      </c>
      <c r="G155" t="s">
        <v>488</v>
      </c>
      <c r="H155" t="s">
        <v>489</v>
      </c>
      <c r="I155" t="s">
        <v>502</v>
      </c>
      <c r="J155" t="s">
        <v>503</v>
      </c>
      <c r="AG155" t="s">
        <v>700</v>
      </c>
      <c r="AH155" t="s">
        <v>701</v>
      </c>
      <c r="AI155" t="s">
        <v>353</v>
      </c>
      <c r="AJ155" t="s">
        <v>502</v>
      </c>
      <c r="AK155" s="1">
        <v>-72933</v>
      </c>
      <c r="AL155" s="1">
        <v>0</v>
      </c>
      <c r="AM155" s="1">
        <v>-72933</v>
      </c>
      <c r="AN155" s="1">
        <v>-24311</v>
      </c>
      <c r="AO155" s="1">
        <v>0</v>
      </c>
      <c r="AP155" s="1">
        <v>-24311</v>
      </c>
      <c r="AQ155" s="1">
        <v>-25323</v>
      </c>
      <c r="AR155" s="1">
        <v>0</v>
      </c>
      <c r="AS155" s="1">
        <v>-25323</v>
      </c>
      <c r="AT155" s="1">
        <v>0</v>
      </c>
      <c r="BA155" s="195"/>
      <c r="BB155" s="195"/>
      <c r="BC155" s="195"/>
      <c r="BD155" s="195"/>
      <c r="BE155" s="195"/>
      <c r="BF155" s="195"/>
      <c r="BG155" s="195"/>
      <c r="BH155" s="195"/>
      <c r="BI155" s="195"/>
    </row>
    <row r="156" spans="1:61" x14ac:dyDescent="0.25">
      <c r="A156" t="s">
        <v>343</v>
      </c>
      <c r="B156" t="s">
        <v>344</v>
      </c>
      <c r="C156" t="s">
        <v>345</v>
      </c>
      <c r="D156" t="s">
        <v>346</v>
      </c>
      <c r="E156" t="s">
        <v>487</v>
      </c>
      <c r="F156" t="s">
        <v>75</v>
      </c>
      <c r="G156" t="s">
        <v>488</v>
      </c>
      <c r="H156" t="s">
        <v>489</v>
      </c>
      <c r="I156" t="s">
        <v>502</v>
      </c>
      <c r="J156" t="s">
        <v>503</v>
      </c>
      <c r="AG156" t="s">
        <v>702</v>
      </c>
      <c r="AH156" t="s">
        <v>703</v>
      </c>
      <c r="AI156" t="s">
        <v>353</v>
      </c>
      <c r="AJ156" t="s">
        <v>502</v>
      </c>
      <c r="AK156" s="1">
        <v>-85913.43</v>
      </c>
      <c r="AL156" s="1">
        <v>0</v>
      </c>
      <c r="AM156" s="1">
        <v>-85913.43</v>
      </c>
      <c r="AN156" s="1">
        <v>-28637.81</v>
      </c>
      <c r="AO156" s="1">
        <v>0</v>
      </c>
      <c r="AP156" s="1">
        <v>-28637.81</v>
      </c>
      <c r="AQ156" s="1">
        <v>-15324.77</v>
      </c>
      <c r="AR156" s="1">
        <v>0</v>
      </c>
      <c r="AS156" s="1">
        <v>-15324.77</v>
      </c>
      <c r="AT156" s="1">
        <v>0</v>
      </c>
      <c r="BA156" s="195"/>
      <c r="BB156" s="195"/>
      <c r="BC156" s="195"/>
      <c r="BD156" s="195"/>
      <c r="BE156" s="195"/>
      <c r="BF156" s="195"/>
      <c r="BG156" s="195"/>
      <c r="BH156" s="195"/>
      <c r="BI156" s="195"/>
    </row>
    <row r="157" spans="1:61" x14ac:dyDescent="0.25">
      <c r="A157" t="s">
        <v>343</v>
      </c>
      <c r="B157" t="s">
        <v>344</v>
      </c>
      <c r="C157" t="s">
        <v>345</v>
      </c>
      <c r="D157" t="s">
        <v>346</v>
      </c>
      <c r="E157" t="s">
        <v>487</v>
      </c>
      <c r="F157" t="s">
        <v>75</v>
      </c>
      <c r="G157" t="s">
        <v>488</v>
      </c>
      <c r="H157" t="s">
        <v>489</v>
      </c>
      <c r="I157" t="s">
        <v>502</v>
      </c>
      <c r="J157" t="s">
        <v>503</v>
      </c>
      <c r="AG157" t="s">
        <v>704</v>
      </c>
      <c r="AH157" t="s">
        <v>705</v>
      </c>
      <c r="AI157" t="s">
        <v>353</v>
      </c>
      <c r="AJ157" t="s">
        <v>502</v>
      </c>
      <c r="AK157" s="1">
        <v>-13448.82</v>
      </c>
      <c r="AL157" s="1">
        <v>0</v>
      </c>
      <c r="AM157" s="1">
        <v>-13448.82</v>
      </c>
      <c r="AN157" s="1">
        <v>-4482.9399999999996</v>
      </c>
      <c r="AO157" s="1">
        <v>0</v>
      </c>
      <c r="AP157" s="1">
        <v>-4482.9399999999996</v>
      </c>
      <c r="AQ157" s="1">
        <v>-1355.08</v>
      </c>
      <c r="AR157" s="1">
        <v>0</v>
      </c>
      <c r="AS157" s="1">
        <v>-1355.08</v>
      </c>
      <c r="AT157" s="1">
        <v>0</v>
      </c>
      <c r="BA157" s="195"/>
      <c r="BB157" s="195"/>
      <c r="BC157" s="195"/>
      <c r="BD157" s="195"/>
      <c r="BE157" s="195"/>
      <c r="BF157" s="195"/>
      <c r="BG157" s="195"/>
      <c r="BH157" s="195"/>
      <c r="BI157" s="195"/>
    </row>
    <row r="158" spans="1:61" x14ac:dyDescent="0.25">
      <c r="A158" t="s">
        <v>343</v>
      </c>
      <c r="B158" t="s">
        <v>344</v>
      </c>
      <c r="C158" t="s">
        <v>345</v>
      </c>
      <c r="D158" t="s">
        <v>346</v>
      </c>
      <c r="E158" t="s">
        <v>487</v>
      </c>
      <c r="F158" t="s">
        <v>75</v>
      </c>
      <c r="G158" t="s">
        <v>488</v>
      </c>
      <c r="H158" t="s">
        <v>489</v>
      </c>
      <c r="I158" t="s">
        <v>502</v>
      </c>
      <c r="J158" t="s">
        <v>503</v>
      </c>
      <c r="AG158" t="s">
        <v>706</v>
      </c>
      <c r="AH158" t="s">
        <v>705</v>
      </c>
      <c r="AI158" t="s">
        <v>353</v>
      </c>
      <c r="AJ158" t="s">
        <v>502</v>
      </c>
      <c r="AK158" s="1">
        <v>-26671.56</v>
      </c>
      <c r="AL158" s="1">
        <v>0</v>
      </c>
      <c r="AM158" s="1">
        <v>-26671.56</v>
      </c>
      <c r="AN158" s="1">
        <v>-8890.52</v>
      </c>
      <c r="AO158" s="1">
        <v>0</v>
      </c>
      <c r="AP158" s="1">
        <v>-8890.52</v>
      </c>
      <c r="AQ158" s="1">
        <v>-9932.77</v>
      </c>
      <c r="AR158" s="1">
        <v>0</v>
      </c>
      <c r="AS158" s="1">
        <v>-9932.77</v>
      </c>
      <c r="AT158" s="1">
        <v>0</v>
      </c>
      <c r="BA158" s="195"/>
      <c r="BB158" s="195"/>
      <c r="BC158" s="195"/>
      <c r="BD158" s="195"/>
      <c r="BE158" s="195"/>
      <c r="BF158" s="195"/>
      <c r="BG158" s="195"/>
      <c r="BH158" s="195"/>
      <c r="BI158" s="195"/>
    </row>
    <row r="159" spans="1:61" x14ac:dyDescent="0.25">
      <c r="A159" t="s">
        <v>343</v>
      </c>
      <c r="B159" t="s">
        <v>344</v>
      </c>
      <c r="C159" t="s">
        <v>345</v>
      </c>
      <c r="D159" t="s">
        <v>346</v>
      </c>
      <c r="E159" t="s">
        <v>487</v>
      </c>
      <c r="F159" t="s">
        <v>75</v>
      </c>
      <c r="G159" t="s">
        <v>488</v>
      </c>
      <c r="H159" t="s">
        <v>489</v>
      </c>
      <c r="I159" t="s">
        <v>502</v>
      </c>
      <c r="J159" t="s">
        <v>503</v>
      </c>
      <c r="AG159" t="s">
        <v>707</v>
      </c>
      <c r="AH159" t="s">
        <v>708</v>
      </c>
      <c r="AI159" t="s">
        <v>353</v>
      </c>
      <c r="AJ159" t="s">
        <v>502</v>
      </c>
      <c r="AK159" s="1">
        <v>-3025.2</v>
      </c>
      <c r="AL159" s="1">
        <v>0</v>
      </c>
      <c r="AM159" s="1">
        <v>-3025.2</v>
      </c>
      <c r="AN159" s="1">
        <v>-1008.4</v>
      </c>
      <c r="AO159" s="1">
        <v>0</v>
      </c>
      <c r="AP159" s="1">
        <v>-1008.4</v>
      </c>
      <c r="AQ159" s="1">
        <v>-3229.57</v>
      </c>
      <c r="AR159" s="1">
        <v>0</v>
      </c>
      <c r="AS159" s="1">
        <v>-3229.57</v>
      </c>
      <c r="AT159" s="1">
        <v>0</v>
      </c>
      <c r="BA159" s="195"/>
      <c r="BB159" s="195"/>
      <c r="BC159" s="195"/>
      <c r="BD159" s="195"/>
      <c r="BE159" s="195"/>
      <c r="BF159" s="195"/>
      <c r="BG159" s="195"/>
      <c r="BH159" s="195"/>
      <c r="BI159" s="195"/>
    </row>
    <row r="160" spans="1:61" x14ac:dyDescent="0.25">
      <c r="A160" t="s">
        <v>343</v>
      </c>
      <c r="B160" t="s">
        <v>344</v>
      </c>
      <c r="C160" t="s">
        <v>345</v>
      </c>
      <c r="D160" t="s">
        <v>346</v>
      </c>
      <c r="E160" t="s">
        <v>487</v>
      </c>
      <c r="F160" t="s">
        <v>75</v>
      </c>
      <c r="G160" t="s">
        <v>488</v>
      </c>
      <c r="H160" t="s">
        <v>489</v>
      </c>
      <c r="I160" t="s">
        <v>502</v>
      </c>
      <c r="J160" t="s">
        <v>503</v>
      </c>
      <c r="AG160" t="s">
        <v>709</v>
      </c>
      <c r="AH160" t="s">
        <v>710</v>
      </c>
      <c r="AI160" t="s">
        <v>353</v>
      </c>
      <c r="AJ160" t="s">
        <v>502</v>
      </c>
      <c r="AK160" s="1">
        <v>-0.39</v>
      </c>
      <c r="AL160" s="1">
        <v>0</v>
      </c>
      <c r="AM160" s="1">
        <v>-0.39</v>
      </c>
      <c r="AN160" s="1">
        <v>-0.13</v>
      </c>
      <c r="AO160" s="1">
        <v>0</v>
      </c>
      <c r="AP160" s="1">
        <v>-0.13</v>
      </c>
      <c r="AQ160" s="1">
        <v>0</v>
      </c>
      <c r="AR160" s="1">
        <v>0</v>
      </c>
      <c r="AS160" s="1">
        <v>0</v>
      </c>
      <c r="AT160" s="1">
        <v>0</v>
      </c>
      <c r="BA160" s="195"/>
      <c r="BB160" s="195"/>
      <c r="BC160" s="195"/>
      <c r="BD160" s="195"/>
      <c r="BE160" s="195"/>
      <c r="BF160" s="195"/>
      <c r="BG160" s="195"/>
      <c r="BH160" s="195"/>
      <c r="BI160" s="195"/>
    </row>
    <row r="161" spans="1:61" x14ac:dyDescent="0.25">
      <c r="A161" t="s">
        <v>343</v>
      </c>
      <c r="B161" t="s">
        <v>344</v>
      </c>
      <c r="C161" t="s">
        <v>345</v>
      </c>
      <c r="D161" t="s">
        <v>346</v>
      </c>
      <c r="E161" t="s">
        <v>487</v>
      </c>
      <c r="F161" t="s">
        <v>75</v>
      </c>
      <c r="G161" t="s">
        <v>488</v>
      </c>
      <c r="H161" t="s">
        <v>489</v>
      </c>
      <c r="I161" t="s">
        <v>502</v>
      </c>
      <c r="J161" t="s">
        <v>503</v>
      </c>
      <c r="AG161" t="s">
        <v>711</v>
      </c>
      <c r="AH161" t="s">
        <v>712</v>
      </c>
      <c r="AI161" t="s">
        <v>353</v>
      </c>
      <c r="AJ161" t="s">
        <v>502</v>
      </c>
      <c r="AK161" s="1">
        <v>-540</v>
      </c>
      <c r="AL161" s="1">
        <v>0</v>
      </c>
      <c r="AM161" s="1">
        <v>-540</v>
      </c>
      <c r="AN161" s="1">
        <v>-180</v>
      </c>
      <c r="AO161" s="1">
        <v>0</v>
      </c>
      <c r="AP161" s="1">
        <v>-180</v>
      </c>
      <c r="AQ161" s="1">
        <v>-90</v>
      </c>
      <c r="AR161" s="1">
        <v>0</v>
      </c>
      <c r="AS161" s="1">
        <v>-90</v>
      </c>
      <c r="AT161" s="1">
        <v>0</v>
      </c>
      <c r="BA161" s="195"/>
      <c r="BB161" s="195"/>
      <c r="BC161" s="195"/>
      <c r="BD161" s="195"/>
      <c r="BE161" s="195"/>
      <c r="BF161" s="195"/>
      <c r="BG161" s="195"/>
      <c r="BH161" s="195"/>
      <c r="BI161" s="195"/>
    </row>
    <row r="162" spans="1:61" x14ac:dyDescent="0.25">
      <c r="A162" t="s">
        <v>343</v>
      </c>
      <c r="B162" t="s">
        <v>344</v>
      </c>
      <c r="C162" t="s">
        <v>345</v>
      </c>
      <c r="D162" t="s">
        <v>346</v>
      </c>
      <c r="E162" t="s">
        <v>487</v>
      </c>
      <c r="F162" t="s">
        <v>75</v>
      </c>
      <c r="G162" t="s">
        <v>488</v>
      </c>
      <c r="H162" t="s">
        <v>489</v>
      </c>
      <c r="I162" t="s">
        <v>502</v>
      </c>
      <c r="J162" t="s">
        <v>503</v>
      </c>
      <c r="AG162" t="s">
        <v>713</v>
      </c>
      <c r="AH162" t="s">
        <v>714</v>
      </c>
      <c r="AI162" t="s">
        <v>353</v>
      </c>
      <c r="AJ162" t="s">
        <v>502</v>
      </c>
      <c r="AK162" s="1">
        <v>-14.64</v>
      </c>
      <c r="AL162" s="1">
        <v>0</v>
      </c>
      <c r="AM162" s="1">
        <v>-14.64</v>
      </c>
      <c r="AN162" s="1">
        <v>-4.88</v>
      </c>
      <c r="AO162" s="1">
        <v>0</v>
      </c>
      <c r="AP162" s="1">
        <v>-4.88</v>
      </c>
      <c r="AQ162" s="1">
        <v>-4816.53</v>
      </c>
      <c r="AR162" s="1">
        <v>0</v>
      </c>
      <c r="AS162" s="1">
        <v>-4816.53</v>
      </c>
      <c r="AT162" s="1">
        <v>0</v>
      </c>
      <c r="BA162" s="195"/>
      <c r="BB162" s="195"/>
      <c r="BC162" s="195"/>
      <c r="BD162" s="195"/>
      <c r="BE162" s="195"/>
      <c r="BF162" s="195"/>
      <c r="BG162" s="195"/>
      <c r="BH162" s="195"/>
      <c r="BI162" s="195"/>
    </row>
    <row r="163" spans="1:61" x14ac:dyDescent="0.25">
      <c r="A163" t="s">
        <v>343</v>
      </c>
      <c r="B163" t="s">
        <v>344</v>
      </c>
      <c r="C163" t="s">
        <v>345</v>
      </c>
      <c r="D163" t="s">
        <v>346</v>
      </c>
      <c r="E163" t="s">
        <v>487</v>
      </c>
      <c r="F163" t="s">
        <v>75</v>
      </c>
      <c r="G163" t="s">
        <v>488</v>
      </c>
      <c r="H163" t="s">
        <v>489</v>
      </c>
      <c r="I163" t="s">
        <v>502</v>
      </c>
      <c r="J163" t="s">
        <v>503</v>
      </c>
      <c r="AG163" t="s">
        <v>715</v>
      </c>
      <c r="AH163" t="s">
        <v>716</v>
      </c>
      <c r="AI163" t="s">
        <v>353</v>
      </c>
      <c r="AJ163" t="s">
        <v>502</v>
      </c>
      <c r="AK163" s="1">
        <v>-33358.230000000003</v>
      </c>
      <c r="AL163" s="1">
        <v>0</v>
      </c>
      <c r="AM163" s="1">
        <v>-33358.230000000003</v>
      </c>
      <c r="AN163" s="1">
        <v>-11119.41</v>
      </c>
      <c r="AO163" s="1">
        <v>0</v>
      </c>
      <c r="AP163" s="1">
        <v>-11119.41</v>
      </c>
      <c r="AQ163" s="1">
        <v>0</v>
      </c>
      <c r="AR163" s="1">
        <v>0</v>
      </c>
      <c r="AS163" s="1">
        <v>0</v>
      </c>
      <c r="AT163" s="1">
        <v>0</v>
      </c>
      <c r="BA163" s="195"/>
      <c r="BB163" s="195"/>
      <c r="BC163" s="195"/>
      <c r="BD163" s="195"/>
      <c r="BE163" s="195"/>
      <c r="BF163" s="195"/>
      <c r="BG163" s="195"/>
      <c r="BH163" s="195"/>
      <c r="BI163" s="195"/>
    </row>
    <row r="164" spans="1:61" x14ac:dyDescent="0.25">
      <c r="A164" t="s">
        <v>343</v>
      </c>
      <c r="B164" t="s">
        <v>344</v>
      </c>
      <c r="C164" t="s">
        <v>345</v>
      </c>
      <c r="D164" t="s">
        <v>346</v>
      </c>
      <c r="E164" t="s">
        <v>487</v>
      </c>
      <c r="F164" t="s">
        <v>75</v>
      </c>
      <c r="G164" t="s">
        <v>488</v>
      </c>
      <c r="H164" t="s">
        <v>489</v>
      </c>
      <c r="I164" t="s">
        <v>502</v>
      </c>
      <c r="J164" t="s">
        <v>503</v>
      </c>
      <c r="AG164" t="s">
        <v>717</v>
      </c>
      <c r="AH164" t="s">
        <v>718</v>
      </c>
      <c r="AI164" t="s">
        <v>353</v>
      </c>
      <c r="AJ164" t="s">
        <v>502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-4396.37</v>
      </c>
      <c r="AR164" s="1">
        <v>0</v>
      </c>
      <c r="AS164" s="1">
        <v>-4396.37</v>
      </c>
      <c r="AT164" s="1">
        <v>0</v>
      </c>
      <c r="BA164" s="195"/>
      <c r="BB164" s="195"/>
      <c r="BC164" s="195"/>
      <c r="BD164" s="195"/>
      <c r="BE164" s="195"/>
      <c r="BF164" s="195"/>
      <c r="BG164" s="195"/>
      <c r="BH164" s="195"/>
      <c r="BI164" s="195"/>
    </row>
    <row r="165" spans="1:61" x14ac:dyDescent="0.25">
      <c r="A165" t="s">
        <v>343</v>
      </c>
      <c r="B165" t="s">
        <v>344</v>
      </c>
      <c r="C165" t="s">
        <v>345</v>
      </c>
      <c r="D165" t="s">
        <v>346</v>
      </c>
      <c r="E165" t="s">
        <v>487</v>
      </c>
      <c r="F165" t="s">
        <v>75</v>
      </c>
      <c r="G165" t="s">
        <v>488</v>
      </c>
      <c r="H165" t="s">
        <v>489</v>
      </c>
      <c r="I165" t="s">
        <v>502</v>
      </c>
      <c r="J165" t="s">
        <v>503</v>
      </c>
      <c r="AG165" t="s">
        <v>719</v>
      </c>
      <c r="AH165" t="s">
        <v>720</v>
      </c>
      <c r="AI165" t="s">
        <v>353</v>
      </c>
      <c r="AJ165" t="s">
        <v>502</v>
      </c>
      <c r="AK165" s="1">
        <v>-1660.44</v>
      </c>
      <c r="AL165" s="1">
        <v>0</v>
      </c>
      <c r="AM165" s="1">
        <v>-1660.44</v>
      </c>
      <c r="AN165" s="1">
        <v>-553.48</v>
      </c>
      <c r="AO165" s="1">
        <v>0</v>
      </c>
      <c r="AP165" s="1">
        <v>-553.48</v>
      </c>
      <c r="AQ165" s="1">
        <v>-518.25</v>
      </c>
      <c r="AR165" s="1">
        <v>0</v>
      </c>
      <c r="AS165" s="1">
        <v>-518.25</v>
      </c>
      <c r="AT165" s="1">
        <v>0</v>
      </c>
      <c r="BA165" s="195"/>
      <c r="BB165" s="195"/>
      <c r="BC165" s="195"/>
      <c r="BD165" s="195"/>
      <c r="BE165" s="195"/>
      <c r="BF165" s="195"/>
      <c r="BG165" s="195"/>
      <c r="BH165" s="195"/>
      <c r="BI165" s="195"/>
    </row>
    <row r="166" spans="1:61" x14ac:dyDescent="0.25">
      <c r="A166" t="s">
        <v>343</v>
      </c>
      <c r="B166" t="s">
        <v>344</v>
      </c>
      <c r="C166" t="s">
        <v>345</v>
      </c>
      <c r="D166" t="s">
        <v>346</v>
      </c>
      <c r="E166" t="s">
        <v>487</v>
      </c>
      <c r="F166" t="s">
        <v>75</v>
      </c>
      <c r="G166" t="s">
        <v>488</v>
      </c>
      <c r="H166" t="s">
        <v>489</v>
      </c>
      <c r="I166" t="s">
        <v>502</v>
      </c>
      <c r="J166" t="s">
        <v>503</v>
      </c>
      <c r="AG166" t="s">
        <v>721</v>
      </c>
      <c r="AH166" t="s">
        <v>722</v>
      </c>
      <c r="AI166" t="s">
        <v>353</v>
      </c>
      <c r="AJ166" t="s">
        <v>502</v>
      </c>
      <c r="AK166" s="1">
        <v>-46886.31</v>
      </c>
      <c r="AL166" s="1">
        <v>0</v>
      </c>
      <c r="AM166" s="1">
        <v>-46886.31</v>
      </c>
      <c r="AN166" s="1">
        <v>-15628.77</v>
      </c>
      <c r="AO166" s="1">
        <v>0</v>
      </c>
      <c r="AP166" s="1">
        <v>-15628.77</v>
      </c>
      <c r="AQ166" s="1">
        <v>-22130.61</v>
      </c>
      <c r="AR166" s="1">
        <v>0</v>
      </c>
      <c r="AS166" s="1">
        <v>-22130.61</v>
      </c>
      <c r="AT166" s="1">
        <v>0</v>
      </c>
      <c r="BA166" s="195"/>
      <c r="BB166" s="195"/>
      <c r="BC166" s="195"/>
      <c r="BD166" s="195"/>
      <c r="BE166" s="195"/>
      <c r="BF166" s="195"/>
      <c r="BG166" s="195"/>
      <c r="BH166" s="195"/>
      <c r="BI166" s="195"/>
    </row>
    <row r="167" spans="1:61" x14ac:dyDescent="0.25">
      <c r="A167" t="s">
        <v>343</v>
      </c>
      <c r="B167" t="s">
        <v>344</v>
      </c>
      <c r="C167" t="s">
        <v>345</v>
      </c>
      <c r="D167" t="s">
        <v>346</v>
      </c>
      <c r="E167" t="s">
        <v>487</v>
      </c>
      <c r="F167" t="s">
        <v>75</v>
      </c>
      <c r="G167" t="s">
        <v>488</v>
      </c>
      <c r="H167" t="s">
        <v>489</v>
      </c>
      <c r="I167" t="s">
        <v>502</v>
      </c>
      <c r="J167" t="s">
        <v>503</v>
      </c>
      <c r="AG167" t="s">
        <v>723</v>
      </c>
      <c r="AH167" t="s">
        <v>724</v>
      </c>
      <c r="AI167" t="s">
        <v>353</v>
      </c>
      <c r="AJ167" t="s">
        <v>502</v>
      </c>
      <c r="AK167" s="1">
        <v>-24579.24</v>
      </c>
      <c r="AL167" s="1">
        <v>0</v>
      </c>
      <c r="AM167" s="1">
        <v>-24579.24</v>
      </c>
      <c r="AN167" s="1">
        <v>-8193.08</v>
      </c>
      <c r="AO167" s="1">
        <v>0</v>
      </c>
      <c r="AP167" s="1">
        <v>-8193.08</v>
      </c>
      <c r="AQ167" s="1">
        <v>-7841.55</v>
      </c>
      <c r="AR167" s="1">
        <v>0</v>
      </c>
      <c r="AS167" s="1">
        <v>-7841.55</v>
      </c>
      <c r="AT167" s="1">
        <v>0</v>
      </c>
      <c r="BA167" s="195"/>
      <c r="BB167" s="195"/>
      <c r="BC167" s="195"/>
      <c r="BD167" s="195"/>
      <c r="BE167" s="195"/>
      <c r="BF167" s="195"/>
      <c r="BG167" s="195"/>
      <c r="BH167" s="195"/>
      <c r="BI167" s="195"/>
    </row>
    <row r="168" spans="1:61" x14ac:dyDescent="0.25">
      <c r="A168" t="s">
        <v>343</v>
      </c>
      <c r="B168" t="s">
        <v>344</v>
      </c>
      <c r="C168" t="s">
        <v>345</v>
      </c>
      <c r="D168" t="s">
        <v>346</v>
      </c>
      <c r="E168" t="s">
        <v>487</v>
      </c>
      <c r="F168" t="s">
        <v>75</v>
      </c>
      <c r="G168" t="s">
        <v>488</v>
      </c>
      <c r="H168" t="s">
        <v>489</v>
      </c>
      <c r="I168" t="s">
        <v>502</v>
      </c>
      <c r="J168" t="s">
        <v>503</v>
      </c>
      <c r="AG168" t="s">
        <v>725</v>
      </c>
      <c r="AH168" t="s">
        <v>726</v>
      </c>
      <c r="AI168" t="s">
        <v>353</v>
      </c>
      <c r="AJ168" t="s">
        <v>502</v>
      </c>
      <c r="AK168" s="1">
        <v>-1174470</v>
      </c>
      <c r="AL168" s="1">
        <v>0</v>
      </c>
      <c r="AM168" s="1">
        <v>-1174470</v>
      </c>
      <c r="AN168" s="1">
        <v>-391490</v>
      </c>
      <c r="AO168" s="1">
        <v>0</v>
      </c>
      <c r="AP168" s="1">
        <v>-391490</v>
      </c>
      <c r="AQ168" s="1">
        <v>-413440.62</v>
      </c>
      <c r="AR168" s="1">
        <v>0</v>
      </c>
      <c r="AS168" s="1">
        <v>-413440.62</v>
      </c>
      <c r="AT168" s="1">
        <v>0</v>
      </c>
      <c r="BA168" s="195"/>
      <c r="BB168" s="195"/>
      <c r="BC168" s="195"/>
      <c r="BD168" s="195"/>
      <c r="BE168" s="195"/>
      <c r="BF168" s="195"/>
      <c r="BG168" s="195"/>
      <c r="BH168" s="195"/>
      <c r="BI168" s="195"/>
    </row>
    <row r="169" spans="1:61" x14ac:dyDescent="0.25">
      <c r="A169" t="s">
        <v>343</v>
      </c>
      <c r="B169" t="s">
        <v>344</v>
      </c>
      <c r="C169" t="s">
        <v>345</v>
      </c>
      <c r="D169" t="s">
        <v>346</v>
      </c>
      <c r="E169" t="s">
        <v>487</v>
      </c>
      <c r="F169" t="s">
        <v>75</v>
      </c>
      <c r="G169" t="s">
        <v>488</v>
      </c>
      <c r="H169" t="s">
        <v>489</v>
      </c>
      <c r="I169" t="s">
        <v>502</v>
      </c>
      <c r="J169" t="s">
        <v>503</v>
      </c>
      <c r="AG169" t="s">
        <v>727</v>
      </c>
      <c r="AH169" t="s">
        <v>728</v>
      </c>
      <c r="AI169" t="s">
        <v>353</v>
      </c>
      <c r="AJ169" t="s">
        <v>502</v>
      </c>
      <c r="AK169" s="1">
        <v>-18293.759999999998</v>
      </c>
      <c r="AL169" s="1">
        <v>0</v>
      </c>
      <c r="AM169" s="1">
        <v>-18293.759999999998</v>
      </c>
      <c r="AN169" s="1">
        <v>-6097.92</v>
      </c>
      <c r="AO169" s="1">
        <v>0</v>
      </c>
      <c r="AP169" s="1">
        <v>-6097.92</v>
      </c>
      <c r="AQ169" s="1">
        <v>0</v>
      </c>
      <c r="AR169" s="1">
        <v>0</v>
      </c>
      <c r="AS169" s="1">
        <v>0</v>
      </c>
      <c r="AT169" s="1">
        <v>0</v>
      </c>
      <c r="BA169" s="195"/>
      <c r="BB169" s="195"/>
      <c r="BC169" s="195"/>
      <c r="BD169" s="195"/>
      <c r="BE169" s="195"/>
      <c r="BF169" s="195"/>
      <c r="BG169" s="195"/>
      <c r="BH169" s="195"/>
      <c r="BI169" s="195"/>
    </row>
    <row r="170" spans="1:61" x14ac:dyDescent="0.25">
      <c r="A170" t="s">
        <v>343</v>
      </c>
      <c r="B170" t="s">
        <v>344</v>
      </c>
      <c r="C170" t="s">
        <v>345</v>
      </c>
      <c r="D170" t="s">
        <v>346</v>
      </c>
      <c r="E170" t="s">
        <v>487</v>
      </c>
      <c r="F170" t="s">
        <v>75</v>
      </c>
      <c r="G170" t="s">
        <v>488</v>
      </c>
      <c r="H170" t="s">
        <v>489</v>
      </c>
      <c r="I170" t="s">
        <v>502</v>
      </c>
      <c r="J170" t="s">
        <v>503</v>
      </c>
      <c r="AG170" t="s">
        <v>729</v>
      </c>
      <c r="AH170" t="s">
        <v>730</v>
      </c>
      <c r="AI170" t="s">
        <v>353</v>
      </c>
      <c r="AJ170" t="s">
        <v>502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-10607.18</v>
      </c>
      <c r="AR170" s="1">
        <v>0</v>
      </c>
      <c r="AS170" s="1">
        <v>-10607.18</v>
      </c>
      <c r="AT170" s="1">
        <v>0</v>
      </c>
      <c r="BA170" s="195"/>
      <c r="BB170" s="195"/>
      <c r="BC170" s="195"/>
      <c r="BD170" s="195"/>
      <c r="BE170" s="195"/>
      <c r="BF170" s="195"/>
      <c r="BG170" s="195"/>
      <c r="BH170" s="195"/>
      <c r="BI170" s="195"/>
    </row>
    <row r="171" spans="1:61" x14ac:dyDescent="0.25">
      <c r="A171" t="s">
        <v>343</v>
      </c>
      <c r="B171" t="s">
        <v>344</v>
      </c>
      <c r="C171" t="s">
        <v>345</v>
      </c>
      <c r="D171" t="s">
        <v>346</v>
      </c>
      <c r="E171" t="s">
        <v>487</v>
      </c>
      <c r="F171" t="s">
        <v>75</v>
      </c>
      <c r="G171" t="s">
        <v>488</v>
      </c>
      <c r="H171" t="s">
        <v>489</v>
      </c>
      <c r="I171" t="s">
        <v>502</v>
      </c>
      <c r="J171" t="s">
        <v>503</v>
      </c>
      <c r="AG171" t="s">
        <v>731</v>
      </c>
      <c r="AH171" t="s">
        <v>732</v>
      </c>
      <c r="AI171" t="s">
        <v>353</v>
      </c>
      <c r="AJ171" t="s">
        <v>502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-22824.12</v>
      </c>
      <c r="AR171" s="1">
        <v>0</v>
      </c>
      <c r="AS171" s="1">
        <v>-22824.12</v>
      </c>
      <c r="AT171" s="1">
        <v>0</v>
      </c>
      <c r="BA171" s="195"/>
      <c r="BB171" s="195"/>
      <c r="BC171" s="195"/>
      <c r="BD171" s="195"/>
      <c r="BE171" s="195"/>
      <c r="BF171" s="195"/>
      <c r="BG171" s="195"/>
      <c r="BH171" s="195"/>
      <c r="BI171" s="195"/>
    </row>
    <row r="172" spans="1:61" x14ac:dyDescent="0.25">
      <c r="A172" t="s">
        <v>343</v>
      </c>
      <c r="B172" t="s">
        <v>344</v>
      </c>
      <c r="C172" t="s">
        <v>345</v>
      </c>
      <c r="D172" t="s">
        <v>346</v>
      </c>
      <c r="E172" t="s">
        <v>487</v>
      </c>
      <c r="F172" t="s">
        <v>75</v>
      </c>
      <c r="G172" t="s">
        <v>488</v>
      </c>
      <c r="H172" t="s">
        <v>489</v>
      </c>
      <c r="I172" t="s">
        <v>502</v>
      </c>
      <c r="J172" t="s">
        <v>503</v>
      </c>
      <c r="AG172" t="s">
        <v>733</v>
      </c>
      <c r="AH172" t="s">
        <v>734</v>
      </c>
      <c r="AI172" t="s">
        <v>353</v>
      </c>
      <c r="AJ172" t="s">
        <v>502</v>
      </c>
      <c r="AK172" s="1">
        <v>-722520</v>
      </c>
      <c r="AL172" s="1">
        <v>0</v>
      </c>
      <c r="AM172" s="1">
        <v>-722520</v>
      </c>
      <c r="AN172" s="1">
        <v>-240840</v>
      </c>
      <c r="AO172" s="1">
        <v>0</v>
      </c>
      <c r="AP172" s="1">
        <v>-240840</v>
      </c>
      <c r="AQ172" s="1">
        <v>-231859</v>
      </c>
      <c r="AR172" s="1">
        <v>0</v>
      </c>
      <c r="AS172" s="1">
        <v>-231859</v>
      </c>
      <c r="AT172" s="1">
        <v>0</v>
      </c>
      <c r="BA172" s="195"/>
      <c r="BB172" s="195"/>
      <c r="BC172" s="195"/>
      <c r="BD172" s="195"/>
      <c r="BE172" s="195"/>
      <c r="BF172" s="195"/>
      <c r="BG172" s="195"/>
      <c r="BH172" s="195"/>
      <c r="BI172" s="195"/>
    </row>
    <row r="173" spans="1:61" x14ac:dyDescent="0.25">
      <c r="A173" t="s">
        <v>343</v>
      </c>
      <c r="B173" t="s">
        <v>344</v>
      </c>
      <c r="C173" t="s">
        <v>345</v>
      </c>
      <c r="D173" t="s">
        <v>346</v>
      </c>
      <c r="E173" t="s">
        <v>487</v>
      </c>
      <c r="F173" t="s">
        <v>75</v>
      </c>
      <c r="G173" t="s">
        <v>488</v>
      </c>
      <c r="H173" t="s">
        <v>489</v>
      </c>
      <c r="I173" t="s">
        <v>502</v>
      </c>
      <c r="J173" t="s">
        <v>503</v>
      </c>
      <c r="AG173" t="s">
        <v>735</v>
      </c>
      <c r="AH173" t="s">
        <v>736</v>
      </c>
      <c r="AI173" t="s">
        <v>353</v>
      </c>
      <c r="AJ173" t="s">
        <v>502</v>
      </c>
      <c r="AK173" s="1">
        <v>-1645668</v>
      </c>
      <c r="AL173" s="1">
        <v>0</v>
      </c>
      <c r="AM173" s="1">
        <v>-1645668</v>
      </c>
      <c r="AN173" s="1">
        <v>-548556</v>
      </c>
      <c r="AO173" s="1">
        <v>0</v>
      </c>
      <c r="AP173" s="1">
        <v>-548556</v>
      </c>
      <c r="AQ173" s="1">
        <v>-530069</v>
      </c>
      <c r="AR173" s="1">
        <v>0</v>
      </c>
      <c r="AS173" s="1">
        <v>-530069</v>
      </c>
      <c r="AT173" s="1">
        <v>0</v>
      </c>
      <c r="BA173" s="195"/>
      <c r="BB173" s="195"/>
      <c r="BC173" s="195"/>
      <c r="BD173" s="195"/>
      <c r="BE173" s="195"/>
      <c r="BF173" s="195"/>
      <c r="BG173" s="195"/>
      <c r="BH173" s="195"/>
      <c r="BI173" s="195"/>
    </row>
    <row r="174" spans="1:61" x14ac:dyDescent="0.25">
      <c r="A174" t="s">
        <v>343</v>
      </c>
      <c r="B174" t="s">
        <v>344</v>
      </c>
      <c r="C174" t="s">
        <v>345</v>
      </c>
      <c r="D174" t="s">
        <v>346</v>
      </c>
      <c r="E174" t="s">
        <v>487</v>
      </c>
      <c r="F174" t="s">
        <v>75</v>
      </c>
      <c r="G174" t="s">
        <v>488</v>
      </c>
      <c r="H174" t="s">
        <v>489</v>
      </c>
      <c r="I174" t="s">
        <v>502</v>
      </c>
      <c r="J174" t="s">
        <v>503</v>
      </c>
      <c r="AG174" t="s">
        <v>737</v>
      </c>
      <c r="AH174" t="s">
        <v>738</v>
      </c>
      <c r="AI174" t="s">
        <v>353</v>
      </c>
      <c r="AJ174" t="s">
        <v>502</v>
      </c>
      <c r="AK174" s="1">
        <v>4399204.53</v>
      </c>
      <c r="AL174" s="1">
        <v>0</v>
      </c>
      <c r="AM174" s="1">
        <v>4399204.53</v>
      </c>
      <c r="AN174" s="1">
        <v>1466401.51</v>
      </c>
      <c r="AO174" s="1">
        <v>0</v>
      </c>
      <c r="AP174" s="1">
        <v>1466401.51</v>
      </c>
      <c r="AQ174" s="1">
        <v>1564044.46</v>
      </c>
      <c r="AR174" s="1">
        <v>0</v>
      </c>
      <c r="AS174" s="1">
        <v>1564044.46</v>
      </c>
      <c r="AT174" s="1">
        <v>0</v>
      </c>
      <c r="BA174" s="195"/>
      <c r="BB174" s="195"/>
      <c r="BC174" s="195"/>
      <c r="BD174" s="195"/>
      <c r="BE174" s="195"/>
      <c r="BF174" s="195"/>
      <c r="BG174" s="195"/>
      <c r="BH174" s="195"/>
      <c r="BI174" s="195"/>
    </row>
    <row r="175" spans="1:61" x14ac:dyDescent="0.25">
      <c r="A175" t="s">
        <v>343</v>
      </c>
      <c r="B175" t="s">
        <v>344</v>
      </c>
      <c r="C175" t="s">
        <v>345</v>
      </c>
      <c r="D175" t="s">
        <v>346</v>
      </c>
      <c r="E175" t="s">
        <v>487</v>
      </c>
      <c r="F175" t="s">
        <v>75</v>
      </c>
      <c r="G175" t="s">
        <v>488</v>
      </c>
      <c r="H175" t="s">
        <v>489</v>
      </c>
      <c r="I175" t="s">
        <v>502</v>
      </c>
      <c r="J175" t="s">
        <v>503</v>
      </c>
      <c r="AG175" t="s">
        <v>739</v>
      </c>
      <c r="AH175" t="s">
        <v>740</v>
      </c>
      <c r="AI175" t="s">
        <v>353</v>
      </c>
      <c r="AJ175" t="s">
        <v>502</v>
      </c>
      <c r="AK175" s="1">
        <v>142407</v>
      </c>
      <c r="AL175" s="1">
        <v>0</v>
      </c>
      <c r="AM175" s="1">
        <v>142407</v>
      </c>
      <c r="AN175" s="1">
        <v>47469</v>
      </c>
      <c r="AO175" s="1">
        <v>0</v>
      </c>
      <c r="AP175" s="1">
        <v>47469</v>
      </c>
      <c r="AQ175" s="1">
        <v>108274.35</v>
      </c>
      <c r="AR175" s="1">
        <v>0</v>
      </c>
      <c r="AS175" s="1">
        <v>108274.35</v>
      </c>
      <c r="AT175" s="1">
        <v>0</v>
      </c>
      <c r="BA175" s="195"/>
      <c r="BB175" s="195"/>
      <c r="BC175" s="195"/>
      <c r="BD175" s="195"/>
      <c r="BE175" s="195"/>
      <c r="BF175" s="195"/>
      <c r="BG175" s="195"/>
      <c r="BH175" s="195"/>
      <c r="BI175" s="195"/>
    </row>
    <row r="176" spans="1:61" x14ac:dyDescent="0.25">
      <c r="A176" t="s">
        <v>343</v>
      </c>
      <c r="B176" t="s">
        <v>344</v>
      </c>
      <c r="C176" t="s">
        <v>345</v>
      </c>
      <c r="D176" t="s">
        <v>346</v>
      </c>
      <c r="E176" t="s">
        <v>487</v>
      </c>
      <c r="F176" t="s">
        <v>75</v>
      </c>
      <c r="G176" t="s">
        <v>488</v>
      </c>
      <c r="H176" t="s">
        <v>489</v>
      </c>
      <c r="I176" t="s">
        <v>502</v>
      </c>
      <c r="J176" t="s">
        <v>503</v>
      </c>
      <c r="AG176" t="s">
        <v>741</v>
      </c>
      <c r="AH176" t="s">
        <v>742</v>
      </c>
      <c r="AI176" t="s">
        <v>353</v>
      </c>
      <c r="AJ176" t="s">
        <v>502</v>
      </c>
      <c r="AK176" s="1">
        <v>1042141.12</v>
      </c>
      <c r="AL176" s="1">
        <v>0</v>
      </c>
      <c r="AM176" s="1">
        <v>1042141.12</v>
      </c>
      <c r="AN176" s="1">
        <v>2141.12</v>
      </c>
      <c r="AO176" s="1">
        <v>0</v>
      </c>
      <c r="AP176" s="1">
        <v>2141.12</v>
      </c>
      <c r="AQ176" s="1">
        <v>12670.74</v>
      </c>
      <c r="AR176" s="1">
        <v>0</v>
      </c>
      <c r="AS176" s="1">
        <v>12670.74</v>
      </c>
      <c r="AT176" s="1">
        <v>0</v>
      </c>
      <c r="BA176" s="195"/>
      <c r="BB176" s="195"/>
      <c r="BC176" s="195"/>
      <c r="BD176" s="195"/>
      <c r="BE176" s="195"/>
      <c r="BF176" s="195"/>
      <c r="BG176" s="195"/>
      <c r="BH176" s="195"/>
      <c r="BI176" s="195"/>
    </row>
    <row r="177" spans="1:61" x14ac:dyDescent="0.25">
      <c r="A177" t="s">
        <v>343</v>
      </c>
      <c r="B177" t="s">
        <v>344</v>
      </c>
      <c r="C177" t="s">
        <v>345</v>
      </c>
      <c r="D177" t="s">
        <v>346</v>
      </c>
      <c r="E177" t="s">
        <v>487</v>
      </c>
      <c r="F177" t="s">
        <v>75</v>
      </c>
      <c r="G177" t="s">
        <v>488</v>
      </c>
      <c r="H177" t="s">
        <v>489</v>
      </c>
      <c r="I177" t="s">
        <v>502</v>
      </c>
      <c r="J177" t="s">
        <v>503</v>
      </c>
      <c r="AG177" t="s">
        <v>743</v>
      </c>
      <c r="AH177" t="s">
        <v>744</v>
      </c>
      <c r="AI177" t="s">
        <v>353</v>
      </c>
      <c r="AJ177" t="s">
        <v>502</v>
      </c>
      <c r="AK177" s="1">
        <v>1004865.09</v>
      </c>
      <c r="AL177" s="1">
        <v>0</v>
      </c>
      <c r="AM177" s="1">
        <v>1004865.09</v>
      </c>
      <c r="AN177" s="1">
        <v>334955.03000000003</v>
      </c>
      <c r="AO177" s="1">
        <v>0</v>
      </c>
      <c r="AP177" s="1">
        <v>334955.03000000003</v>
      </c>
      <c r="AQ177" s="1">
        <v>442116.04</v>
      </c>
      <c r="AR177" s="1">
        <v>0</v>
      </c>
      <c r="AS177" s="1">
        <v>442116.04</v>
      </c>
      <c r="AT177" s="1">
        <v>0</v>
      </c>
      <c r="BA177" s="195"/>
      <c r="BB177" s="195"/>
      <c r="BC177" s="195"/>
      <c r="BD177" s="195"/>
      <c r="BE177" s="195"/>
      <c r="BF177" s="195"/>
      <c r="BG177" s="195"/>
      <c r="BH177" s="195"/>
      <c r="BI177" s="195"/>
    </row>
    <row r="178" spans="1:61" x14ac:dyDescent="0.25">
      <c r="A178" t="s">
        <v>343</v>
      </c>
      <c r="B178" t="s">
        <v>344</v>
      </c>
      <c r="C178" t="s">
        <v>345</v>
      </c>
      <c r="D178" t="s">
        <v>346</v>
      </c>
      <c r="E178" t="s">
        <v>487</v>
      </c>
      <c r="F178" t="s">
        <v>75</v>
      </c>
      <c r="G178" t="s">
        <v>488</v>
      </c>
      <c r="H178" t="s">
        <v>489</v>
      </c>
      <c r="I178" t="s">
        <v>502</v>
      </c>
      <c r="J178" t="s">
        <v>503</v>
      </c>
      <c r="AG178" t="s">
        <v>745</v>
      </c>
      <c r="AH178" t="s">
        <v>746</v>
      </c>
      <c r="AI178" t="s">
        <v>353</v>
      </c>
      <c r="AJ178" t="s">
        <v>502</v>
      </c>
      <c r="AK178" s="1">
        <v>1235235.1399999999</v>
      </c>
      <c r="AL178" s="1">
        <v>0</v>
      </c>
      <c r="AM178" s="1">
        <v>1235235.1399999999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BA178" s="195"/>
      <c r="BB178" s="195"/>
      <c r="BC178" s="195"/>
      <c r="BD178" s="195"/>
      <c r="BE178" s="195"/>
      <c r="BF178" s="195"/>
      <c r="BG178" s="195"/>
      <c r="BH178" s="195"/>
      <c r="BI178" s="195"/>
    </row>
    <row r="179" spans="1:61" x14ac:dyDescent="0.25">
      <c r="A179" t="s">
        <v>343</v>
      </c>
      <c r="B179" t="s">
        <v>344</v>
      </c>
      <c r="C179" t="s">
        <v>345</v>
      </c>
      <c r="D179" t="s">
        <v>346</v>
      </c>
      <c r="E179" t="s">
        <v>487</v>
      </c>
      <c r="F179" t="s">
        <v>75</v>
      </c>
      <c r="G179" t="s">
        <v>488</v>
      </c>
      <c r="H179" t="s">
        <v>489</v>
      </c>
      <c r="I179" t="s">
        <v>502</v>
      </c>
      <c r="J179" t="s">
        <v>503</v>
      </c>
      <c r="AG179" t="s">
        <v>747</v>
      </c>
      <c r="AH179" t="s">
        <v>748</v>
      </c>
      <c r="AI179" t="s">
        <v>353</v>
      </c>
      <c r="AJ179" t="s">
        <v>502</v>
      </c>
      <c r="AK179" s="1">
        <v>1304433.94</v>
      </c>
      <c r="AL179" s="1">
        <v>0</v>
      </c>
      <c r="AM179" s="1">
        <v>1304433.94</v>
      </c>
      <c r="AN179" s="1">
        <v>1144433.94</v>
      </c>
      <c r="AO179" s="1">
        <v>0</v>
      </c>
      <c r="AP179" s="1">
        <v>1144433.94</v>
      </c>
      <c r="AQ179" s="1">
        <v>1208960.96</v>
      </c>
      <c r="AR179" s="1">
        <v>0</v>
      </c>
      <c r="AS179" s="1">
        <v>1208960.96</v>
      </c>
      <c r="AT179" s="1">
        <v>0</v>
      </c>
      <c r="BA179" s="195"/>
      <c r="BB179" s="195"/>
      <c r="BC179" s="195"/>
      <c r="BD179" s="195"/>
      <c r="BE179" s="195"/>
      <c r="BF179" s="195"/>
      <c r="BG179" s="195"/>
      <c r="BH179" s="195"/>
      <c r="BI179" s="195"/>
    </row>
    <row r="180" spans="1:61" x14ac:dyDescent="0.25">
      <c r="A180" t="s">
        <v>343</v>
      </c>
      <c r="B180" t="s">
        <v>344</v>
      </c>
      <c r="C180" t="s">
        <v>345</v>
      </c>
      <c r="D180" t="s">
        <v>346</v>
      </c>
      <c r="E180" t="s">
        <v>487</v>
      </c>
      <c r="F180" t="s">
        <v>75</v>
      </c>
      <c r="G180" t="s">
        <v>488</v>
      </c>
      <c r="H180" t="s">
        <v>489</v>
      </c>
      <c r="I180" t="s">
        <v>502</v>
      </c>
      <c r="J180" t="s">
        <v>503</v>
      </c>
      <c r="AG180" t="s">
        <v>749</v>
      </c>
      <c r="AH180" t="s">
        <v>750</v>
      </c>
      <c r="AI180" t="s">
        <v>353</v>
      </c>
      <c r="AJ180" t="s">
        <v>502</v>
      </c>
      <c r="AK180" s="1">
        <v>1136869.05</v>
      </c>
      <c r="AL180" s="1">
        <v>0</v>
      </c>
      <c r="AM180" s="1">
        <v>1136869.05</v>
      </c>
      <c r="AN180" s="1">
        <v>378956.35</v>
      </c>
      <c r="AO180" s="1">
        <v>0</v>
      </c>
      <c r="AP180" s="1">
        <v>378956.35</v>
      </c>
      <c r="AQ180" s="1">
        <v>309228.06</v>
      </c>
      <c r="AR180" s="1">
        <v>0</v>
      </c>
      <c r="AS180" s="1">
        <v>309228.06</v>
      </c>
      <c r="AT180" s="1">
        <v>0</v>
      </c>
      <c r="BA180" s="195"/>
      <c r="BB180" s="195"/>
      <c r="BC180" s="195"/>
      <c r="BD180" s="195"/>
      <c r="BE180" s="195"/>
      <c r="BF180" s="195"/>
      <c r="BG180" s="195"/>
      <c r="BH180" s="195"/>
      <c r="BI180" s="195"/>
    </row>
    <row r="181" spans="1:61" x14ac:dyDescent="0.25">
      <c r="A181" t="s">
        <v>343</v>
      </c>
      <c r="B181" t="s">
        <v>344</v>
      </c>
      <c r="C181" t="s">
        <v>345</v>
      </c>
      <c r="D181" t="s">
        <v>346</v>
      </c>
      <c r="E181" t="s">
        <v>487</v>
      </c>
      <c r="F181" t="s">
        <v>75</v>
      </c>
      <c r="G181" t="s">
        <v>488</v>
      </c>
      <c r="H181" t="s">
        <v>489</v>
      </c>
      <c r="I181" t="s">
        <v>502</v>
      </c>
      <c r="J181" t="s">
        <v>503</v>
      </c>
      <c r="AG181" t="s">
        <v>751</v>
      </c>
      <c r="AH181" t="s">
        <v>752</v>
      </c>
      <c r="AI181" t="s">
        <v>353</v>
      </c>
      <c r="AJ181" t="s">
        <v>502</v>
      </c>
      <c r="AK181" s="1">
        <v>13860</v>
      </c>
      <c r="AL181" s="1">
        <v>0</v>
      </c>
      <c r="AM181" s="1">
        <v>13860</v>
      </c>
      <c r="AN181" s="1">
        <v>4620</v>
      </c>
      <c r="AO181" s="1">
        <v>0</v>
      </c>
      <c r="AP181" s="1">
        <v>4620</v>
      </c>
      <c r="AQ181" s="1">
        <v>4000</v>
      </c>
      <c r="AR181" s="1">
        <v>0</v>
      </c>
      <c r="AS181" s="1">
        <v>4000</v>
      </c>
      <c r="AT181" s="1">
        <v>0</v>
      </c>
      <c r="BA181" s="195"/>
      <c r="BB181" s="195"/>
      <c r="BC181" s="195"/>
      <c r="BD181" s="195"/>
      <c r="BE181" s="195"/>
      <c r="BF181" s="195"/>
      <c r="BG181" s="195"/>
      <c r="BH181" s="195"/>
      <c r="BI181" s="195"/>
    </row>
    <row r="182" spans="1:61" x14ac:dyDescent="0.25">
      <c r="A182" t="s">
        <v>343</v>
      </c>
      <c r="B182" t="s">
        <v>344</v>
      </c>
      <c r="C182" t="s">
        <v>345</v>
      </c>
      <c r="D182" t="s">
        <v>346</v>
      </c>
      <c r="E182" t="s">
        <v>487</v>
      </c>
      <c r="F182" t="s">
        <v>75</v>
      </c>
      <c r="G182" t="s">
        <v>488</v>
      </c>
      <c r="H182" t="s">
        <v>489</v>
      </c>
      <c r="I182" t="s">
        <v>502</v>
      </c>
      <c r="J182" t="s">
        <v>503</v>
      </c>
      <c r="AG182" t="s">
        <v>753</v>
      </c>
      <c r="AH182" t="s">
        <v>754</v>
      </c>
      <c r="AI182" t="s">
        <v>353</v>
      </c>
      <c r="AJ182" t="s">
        <v>502</v>
      </c>
      <c r="AK182" s="1">
        <v>10216493.880000001</v>
      </c>
      <c r="AL182" s="1">
        <v>0</v>
      </c>
      <c r="AM182" s="1">
        <v>10216493.880000001</v>
      </c>
      <c r="AN182" s="1">
        <v>3405497.96</v>
      </c>
      <c r="AO182" s="1">
        <v>0</v>
      </c>
      <c r="AP182" s="1">
        <v>3405497.96</v>
      </c>
      <c r="AQ182" s="1">
        <v>2972947.09</v>
      </c>
      <c r="AR182" s="1">
        <v>0</v>
      </c>
      <c r="AS182" s="1">
        <v>2972947.09</v>
      </c>
      <c r="AT182" s="1">
        <v>0</v>
      </c>
      <c r="BA182" s="195"/>
      <c r="BB182" s="195"/>
      <c r="BC182" s="195"/>
      <c r="BD182" s="195"/>
      <c r="BE182" s="195"/>
      <c r="BF182" s="195"/>
      <c r="BG182" s="195"/>
      <c r="BH182" s="195"/>
      <c r="BI182" s="195"/>
    </row>
    <row r="183" spans="1:61" x14ac:dyDescent="0.25">
      <c r="A183" t="s">
        <v>343</v>
      </c>
      <c r="B183" t="s">
        <v>344</v>
      </c>
      <c r="C183" t="s">
        <v>345</v>
      </c>
      <c r="D183" t="s">
        <v>346</v>
      </c>
      <c r="E183" t="s">
        <v>487</v>
      </c>
      <c r="F183" t="s">
        <v>75</v>
      </c>
      <c r="G183" t="s">
        <v>488</v>
      </c>
      <c r="H183" t="s">
        <v>489</v>
      </c>
      <c r="I183" t="s">
        <v>502</v>
      </c>
      <c r="J183" t="s">
        <v>503</v>
      </c>
      <c r="AG183" t="s">
        <v>755</v>
      </c>
      <c r="AH183" t="s">
        <v>756</v>
      </c>
      <c r="AI183" t="s">
        <v>353</v>
      </c>
      <c r="AJ183" t="s">
        <v>502</v>
      </c>
      <c r="AK183" s="1">
        <v>32937.120000000003</v>
      </c>
      <c r="AL183" s="1">
        <v>0</v>
      </c>
      <c r="AM183" s="1">
        <v>32937.120000000003</v>
      </c>
      <c r="AN183" s="1">
        <v>10979.04</v>
      </c>
      <c r="AO183" s="1">
        <v>0</v>
      </c>
      <c r="AP183" s="1">
        <v>10979.04</v>
      </c>
      <c r="AQ183" s="1">
        <v>11648.39</v>
      </c>
      <c r="AR183" s="1">
        <v>0</v>
      </c>
      <c r="AS183" s="1">
        <v>11648.39</v>
      </c>
      <c r="AT183" s="1">
        <v>0</v>
      </c>
      <c r="BA183" s="195"/>
      <c r="BB183" s="195"/>
      <c r="BC183" s="195"/>
      <c r="BD183" s="195"/>
      <c r="BE183" s="195"/>
      <c r="BF183" s="195"/>
      <c r="BG183" s="195"/>
      <c r="BH183" s="195"/>
      <c r="BI183" s="195"/>
    </row>
    <row r="184" spans="1:61" x14ac:dyDescent="0.25">
      <c r="A184" t="s">
        <v>343</v>
      </c>
      <c r="B184" t="s">
        <v>344</v>
      </c>
      <c r="C184" t="s">
        <v>345</v>
      </c>
      <c r="D184" t="s">
        <v>346</v>
      </c>
      <c r="E184" t="s">
        <v>487</v>
      </c>
      <c r="F184" t="s">
        <v>75</v>
      </c>
      <c r="G184" t="s">
        <v>488</v>
      </c>
      <c r="H184" t="s">
        <v>489</v>
      </c>
      <c r="I184" t="s">
        <v>502</v>
      </c>
      <c r="J184" t="s">
        <v>503</v>
      </c>
      <c r="AG184" t="s">
        <v>757</v>
      </c>
      <c r="AH184" t="s">
        <v>758</v>
      </c>
      <c r="AI184" t="s">
        <v>353</v>
      </c>
      <c r="AJ184" t="s">
        <v>502</v>
      </c>
      <c r="AK184" s="1">
        <v>-6000.12</v>
      </c>
      <c r="AL184" s="1">
        <v>0</v>
      </c>
      <c r="AM184" s="1">
        <v>-6000.12</v>
      </c>
      <c r="AN184" s="1">
        <v>-2000.04</v>
      </c>
      <c r="AO184" s="1">
        <v>0</v>
      </c>
      <c r="AP184" s="1">
        <v>-2000.04</v>
      </c>
      <c r="AQ184" s="1">
        <v>2000.04</v>
      </c>
      <c r="AR184" s="1">
        <v>0</v>
      </c>
      <c r="AS184" s="1">
        <v>2000.04</v>
      </c>
      <c r="AT184" s="1">
        <v>0</v>
      </c>
      <c r="BA184" s="195"/>
      <c r="BB184" s="195"/>
      <c r="BC184" s="195"/>
      <c r="BD184" s="195"/>
      <c r="BE184" s="195"/>
      <c r="BF184" s="195"/>
      <c r="BG184" s="195"/>
      <c r="BH184" s="195"/>
      <c r="BI184" s="195"/>
    </row>
    <row r="185" spans="1:61" x14ac:dyDescent="0.25">
      <c r="A185" t="s">
        <v>343</v>
      </c>
      <c r="B185" t="s">
        <v>344</v>
      </c>
      <c r="C185" t="s">
        <v>345</v>
      </c>
      <c r="D185" t="s">
        <v>346</v>
      </c>
      <c r="E185" t="s">
        <v>487</v>
      </c>
      <c r="F185" t="s">
        <v>75</v>
      </c>
      <c r="G185" t="s">
        <v>488</v>
      </c>
      <c r="H185" t="s">
        <v>489</v>
      </c>
      <c r="I185" t="s">
        <v>502</v>
      </c>
      <c r="J185" t="s">
        <v>503</v>
      </c>
      <c r="AG185" t="s">
        <v>759</v>
      </c>
      <c r="AH185" t="s">
        <v>760</v>
      </c>
      <c r="AI185" t="s">
        <v>353</v>
      </c>
      <c r="AJ185" t="s">
        <v>502</v>
      </c>
      <c r="AK185" s="1">
        <v>911040.72</v>
      </c>
      <c r="AL185" s="1">
        <v>0</v>
      </c>
      <c r="AM185" s="1">
        <v>911040.72</v>
      </c>
      <c r="AN185" s="1">
        <v>303680.24</v>
      </c>
      <c r="AO185" s="1">
        <v>0</v>
      </c>
      <c r="AP185" s="1">
        <v>303680.24</v>
      </c>
      <c r="AQ185" s="1">
        <v>294913.21999999997</v>
      </c>
      <c r="AR185" s="1">
        <v>0</v>
      </c>
      <c r="AS185" s="1">
        <v>294913.21999999997</v>
      </c>
      <c r="AT185" s="1">
        <v>0</v>
      </c>
      <c r="BA185" s="195"/>
      <c r="BB185" s="195"/>
      <c r="BC185" s="195"/>
      <c r="BD185" s="195"/>
      <c r="BE185" s="195"/>
      <c r="BF185" s="195"/>
      <c r="BG185" s="195"/>
      <c r="BH185" s="195"/>
      <c r="BI185" s="195"/>
    </row>
    <row r="186" spans="1:61" x14ac:dyDescent="0.25">
      <c r="A186" t="s">
        <v>343</v>
      </c>
      <c r="B186" t="s">
        <v>344</v>
      </c>
      <c r="C186" t="s">
        <v>345</v>
      </c>
      <c r="D186" t="s">
        <v>346</v>
      </c>
      <c r="E186" t="s">
        <v>487</v>
      </c>
      <c r="F186" t="s">
        <v>75</v>
      </c>
      <c r="G186" t="s">
        <v>488</v>
      </c>
      <c r="H186" t="s">
        <v>489</v>
      </c>
      <c r="I186" t="s">
        <v>502</v>
      </c>
      <c r="J186" t="s">
        <v>503</v>
      </c>
      <c r="AG186" t="s">
        <v>761</v>
      </c>
      <c r="AH186" t="s">
        <v>762</v>
      </c>
      <c r="AI186" t="s">
        <v>353</v>
      </c>
      <c r="AJ186" t="s">
        <v>502</v>
      </c>
      <c r="AK186" s="1">
        <v>3345843.03</v>
      </c>
      <c r="AL186" s="1">
        <v>0</v>
      </c>
      <c r="AM186" s="1">
        <v>3345843.03</v>
      </c>
      <c r="AN186" s="1">
        <v>1115281.01</v>
      </c>
      <c r="AO186" s="1">
        <v>0</v>
      </c>
      <c r="AP186" s="1">
        <v>1115281.01</v>
      </c>
      <c r="AQ186" s="1">
        <v>2187998.2400000002</v>
      </c>
      <c r="AR186" s="1">
        <v>0</v>
      </c>
      <c r="AS186" s="1">
        <v>2187998.2400000002</v>
      </c>
      <c r="AT186" s="1">
        <v>0</v>
      </c>
      <c r="BA186" s="195"/>
      <c r="BB186" s="195"/>
      <c r="BC186" s="195"/>
      <c r="BD186" s="195"/>
      <c r="BE186" s="195"/>
      <c r="BF186" s="195"/>
      <c r="BG186" s="195"/>
      <c r="BH186" s="195"/>
      <c r="BI186" s="195"/>
    </row>
    <row r="187" spans="1:61" x14ac:dyDescent="0.25">
      <c r="A187" t="s">
        <v>343</v>
      </c>
      <c r="B187" t="s">
        <v>344</v>
      </c>
      <c r="C187" t="s">
        <v>345</v>
      </c>
      <c r="D187" t="s">
        <v>346</v>
      </c>
      <c r="E187" t="s">
        <v>487</v>
      </c>
      <c r="F187" t="s">
        <v>75</v>
      </c>
      <c r="G187" t="s">
        <v>488</v>
      </c>
      <c r="H187" t="s">
        <v>489</v>
      </c>
      <c r="I187" t="s">
        <v>502</v>
      </c>
      <c r="J187" t="s">
        <v>503</v>
      </c>
      <c r="AG187" t="s">
        <v>763</v>
      </c>
      <c r="AH187" t="s">
        <v>764</v>
      </c>
      <c r="AI187" t="s">
        <v>353</v>
      </c>
      <c r="AJ187" t="s">
        <v>502</v>
      </c>
      <c r="AK187" s="1">
        <v>17452.8</v>
      </c>
      <c r="AL187" s="1">
        <v>0</v>
      </c>
      <c r="AM187" s="1">
        <v>17452.8</v>
      </c>
      <c r="AN187" s="1">
        <v>5817.6</v>
      </c>
      <c r="AO187" s="1">
        <v>0</v>
      </c>
      <c r="AP187" s="1">
        <v>5817.6</v>
      </c>
      <c r="AQ187" s="1">
        <v>32350</v>
      </c>
      <c r="AR187" s="1">
        <v>0</v>
      </c>
      <c r="AS187" s="1">
        <v>32350</v>
      </c>
      <c r="AT187" s="1">
        <v>0</v>
      </c>
      <c r="BA187" s="195"/>
      <c r="BB187" s="195"/>
      <c r="BC187" s="195"/>
      <c r="BD187" s="195"/>
      <c r="BE187" s="195"/>
      <c r="BF187" s="195"/>
      <c r="BG187" s="195"/>
      <c r="BH187" s="195"/>
      <c r="BI187" s="195"/>
    </row>
    <row r="188" spans="1:61" x14ac:dyDescent="0.25">
      <c r="A188" t="s">
        <v>343</v>
      </c>
      <c r="B188" t="s">
        <v>344</v>
      </c>
      <c r="C188" t="s">
        <v>345</v>
      </c>
      <c r="D188" t="s">
        <v>346</v>
      </c>
      <c r="E188" t="s">
        <v>487</v>
      </c>
      <c r="F188" t="s">
        <v>75</v>
      </c>
      <c r="G188" t="s">
        <v>488</v>
      </c>
      <c r="H188" t="s">
        <v>489</v>
      </c>
      <c r="I188" t="s">
        <v>502</v>
      </c>
      <c r="J188" t="s">
        <v>503</v>
      </c>
      <c r="AG188" t="s">
        <v>765</v>
      </c>
      <c r="AH188" t="s">
        <v>766</v>
      </c>
      <c r="AI188" t="s">
        <v>353</v>
      </c>
      <c r="AJ188" t="s">
        <v>502</v>
      </c>
      <c r="AK188" s="1">
        <v>297110.94</v>
      </c>
      <c r="AL188" s="1">
        <v>0</v>
      </c>
      <c r="AM188" s="1">
        <v>297110.94</v>
      </c>
      <c r="AN188" s="1">
        <v>99036.98</v>
      </c>
      <c r="AO188" s="1">
        <v>0</v>
      </c>
      <c r="AP188" s="1">
        <v>99036.98</v>
      </c>
      <c r="AQ188" s="1">
        <v>56902.42</v>
      </c>
      <c r="AR188" s="1">
        <v>0</v>
      </c>
      <c r="AS188" s="1">
        <v>56902.42</v>
      </c>
      <c r="AT188" s="1">
        <v>0</v>
      </c>
      <c r="BA188" s="195"/>
      <c r="BB188" s="195"/>
      <c r="BC188" s="195"/>
      <c r="BD188" s="195"/>
      <c r="BE188" s="195"/>
      <c r="BF188" s="195"/>
      <c r="BG188" s="195"/>
      <c r="BH188" s="195"/>
      <c r="BI188" s="195"/>
    </row>
    <row r="189" spans="1:61" x14ac:dyDescent="0.25">
      <c r="A189" t="s">
        <v>343</v>
      </c>
      <c r="B189" t="s">
        <v>344</v>
      </c>
      <c r="C189" t="s">
        <v>345</v>
      </c>
      <c r="D189" t="s">
        <v>346</v>
      </c>
      <c r="E189" t="s">
        <v>487</v>
      </c>
      <c r="F189" t="s">
        <v>75</v>
      </c>
      <c r="G189" t="s">
        <v>488</v>
      </c>
      <c r="H189" t="s">
        <v>489</v>
      </c>
      <c r="I189" t="s">
        <v>502</v>
      </c>
      <c r="J189" t="s">
        <v>503</v>
      </c>
      <c r="AG189" t="s">
        <v>767</v>
      </c>
      <c r="AH189" t="s">
        <v>768</v>
      </c>
      <c r="AI189" t="s">
        <v>353</v>
      </c>
      <c r="AJ189" t="s">
        <v>502</v>
      </c>
      <c r="AK189" s="1">
        <v>190883.37</v>
      </c>
      <c r="AL189" s="1">
        <v>0</v>
      </c>
      <c r="AM189" s="1">
        <v>190883.37</v>
      </c>
      <c r="AN189" s="1">
        <v>63627.79</v>
      </c>
      <c r="AO189" s="1">
        <v>0</v>
      </c>
      <c r="AP189" s="1">
        <v>63627.79</v>
      </c>
      <c r="AQ189" s="1">
        <v>13315.13</v>
      </c>
      <c r="AR189" s="1">
        <v>0</v>
      </c>
      <c r="AS189" s="1">
        <v>13315.13</v>
      </c>
      <c r="AT189" s="1">
        <v>0</v>
      </c>
      <c r="BA189" s="195"/>
      <c r="BB189" s="195"/>
      <c r="BC189" s="195"/>
      <c r="BD189" s="195"/>
      <c r="BE189" s="195"/>
      <c r="BF189" s="195"/>
      <c r="BG189" s="195"/>
      <c r="BH189" s="195"/>
      <c r="BI189" s="195"/>
    </row>
    <row r="190" spans="1:61" x14ac:dyDescent="0.25">
      <c r="A190" t="s">
        <v>343</v>
      </c>
      <c r="B190" t="s">
        <v>344</v>
      </c>
      <c r="C190" t="s">
        <v>345</v>
      </c>
      <c r="D190" t="s">
        <v>346</v>
      </c>
      <c r="E190" t="s">
        <v>487</v>
      </c>
      <c r="F190" t="s">
        <v>75</v>
      </c>
      <c r="G190" t="s">
        <v>488</v>
      </c>
      <c r="H190" t="s">
        <v>489</v>
      </c>
      <c r="I190" t="s">
        <v>502</v>
      </c>
      <c r="J190" t="s">
        <v>503</v>
      </c>
      <c r="AG190" t="s">
        <v>769</v>
      </c>
      <c r="AH190" t="s">
        <v>770</v>
      </c>
      <c r="AI190" t="s">
        <v>353</v>
      </c>
      <c r="AJ190" t="s">
        <v>502</v>
      </c>
      <c r="AK190" s="1">
        <v>581665.92000000004</v>
      </c>
      <c r="AL190" s="1">
        <v>0</v>
      </c>
      <c r="AM190" s="1">
        <v>581665.92000000004</v>
      </c>
      <c r="AN190" s="1">
        <v>193888.64000000001</v>
      </c>
      <c r="AO190" s="1">
        <v>0</v>
      </c>
      <c r="AP190" s="1">
        <v>193888.64000000001</v>
      </c>
      <c r="AQ190" s="1">
        <v>131639.43</v>
      </c>
      <c r="AR190" s="1">
        <v>0</v>
      </c>
      <c r="AS190" s="1">
        <v>131639.43</v>
      </c>
      <c r="AT190" s="1">
        <v>0</v>
      </c>
      <c r="BA190" s="195"/>
      <c r="BB190" s="195"/>
      <c r="BC190" s="195"/>
      <c r="BD190" s="195"/>
      <c r="BE190" s="195"/>
      <c r="BF190" s="195"/>
      <c r="BG190" s="195"/>
      <c r="BH190" s="195"/>
      <c r="BI190" s="195"/>
    </row>
    <row r="191" spans="1:61" x14ac:dyDescent="0.25">
      <c r="A191" t="s">
        <v>343</v>
      </c>
      <c r="B191" t="s">
        <v>344</v>
      </c>
      <c r="C191" t="s">
        <v>345</v>
      </c>
      <c r="D191" t="s">
        <v>346</v>
      </c>
      <c r="E191" t="s">
        <v>487</v>
      </c>
      <c r="F191" t="s">
        <v>75</v>
      </c>
      <c r="G191" t="s">
        <v>488</v>
      </c>
      <c r="H191" t="s">
        <v>489</v>
      </c>
      <c r="I191" t="s">
        <v>502</v>
      </c>
      <c r="J191" t="s">
        <v>503</v>
      </c>
      <c r="AG191" t="s">
        <v>771</v>
      </c>
      <c r="AH191" t="s">
        <v>772</v>
      </c>
      <c r="AI191" t="s">
        <v>353</v>
      </c>
      <c r="AJ191" t="s">
        <v>502</v>
      </c>
      <c r="AK191" s="1">
        <v>904740.57</v>
      </c>
      <c r="AL191" s="1">
        <v>0</v>
      </c>
      <c r="AM191" s="1">
        <v>904740.57</v>
      </c>
      <c r="AN191" s="1">
        <v>301580.19</v>
      </c>
      <c r="AO191" s="1">
        <v>0</v>
      </c>
      <c r="AP191" s="1">
        <v>301580.19</v>
      </c>
      <c r="AQ191" s="1">
        <v>258796.34</v>
      </c>
      <c r="AR191" s="1">
        <v>0</v>
      </c>
      <c r="AS191" s="1">
        <v>258796.34</v>
      </c>
      <c r="AT191" s="1">
        <v>0</v>
      </c>
      <c r="BA191" s="195"/>
      <c r="BB191" s="195"/>
      <c r="BC191" s="195"/>
      <c r="BD191" s="195"/>
      <c r="BE191" s="195"/>
      <c r="BF191" s="195"/>
      <c r="BG191" s="195"/>
      <c r="BH191" s="195"/>
      <c r="BI191" s="195"/>
    </row>
    <row r="192" spans="1:61" x14ac:dyDescent="0.25">
      <c r="A192" t="s">
        <v>343</v>
      </c>
      <c r="B192" t="s">
        <v>344</v>
      </c>
      <c r="C192" t="s">
        <v>345</v>
      </c>
      <c r="D192" t="s">
        <v>346</v>
      </c>
      <c r="E192" t="s">
        <v>487</v>
      </c>
      <c r="F192" t="s">
        <v>75</v>
      </c>
      <c r="G192" t="s">
        <v>488</v>
      </c>
      <c r="H192" t="s">
        <v>489</v>
      </c>
      <c r="I192" t="s">
        <v>502</v>
      </c>
      <c r="J192" t="s">
        <v>503</v>
      </c>
      <c r="AG192" t="s">
        <v>773</v>
      </c>
      <c r="AH192" t="s">
        <v>774</v>
      </c>
      <c r="AI192" t="s">
        <v>353</v>
      </c>
      <c r="AJ192" t="s">
        <v>502</v>
      </c>
      <c r="AK192" s="1">
        <v>53877.81</v>
      </c>
      <c r="AL192" s="1">
        <v>0</v>
      </c>
      <c r="AM192" s="1">
        <v>53877.81</v>
      </c>
      <c r="AN192" s="1">
        <v>17959.27</v>
      </c>
      <c r="AO192" s="1">
        <v>0</v>
      </c>
      <c r="AP192" s="1">
        <v>17959.27</v>
      </c>
      <c r="AQ192" s="1">
        <v>16110.25</v>
      </c>
      <c r="AR192" s="1">
        <v>0</v>
      </c>
      <c r="AS192" s="1">
        <v>16110.25</v>
      </c>
      <c r="AT192" s="1">
        <v>0</v>
      </c>
      <c r="BA192" s="195"/>
      <c r="BB192" s="195"/>
      <c r="BC192" s="195"/>
      <c r="BD192" s="195"/>
      <c r="BE192" s="195"/>
      <c r="BF192" s="195"/>
      <c r="BG192" s="195"/>
      <c r="BH192" s="195"/>
      <c r="BI192" s="195"/>
    </row>
    <row r="193" spans="1:61" x14ac:dyDescent="0.25">
      <c r="A193" t="s">
        <v>343</v>
      </c>
      <c r="B193" t="s">
        <v>344</v>
      </c>
      <c r="C193" t="s">
        <v>345</v>
      </c>
      <c r="D193" t="s">
        <v>346</v>
      </c>
      <c r="E193" t="s">
        <v>487</v>
      </c>
      <c r="F193" t="s">
        <v>75</v>
      </c>
      <c r="G193" t="s">
        <v>488</v>
      </c>
      <c r="H193" t="s">
        <v>489</v>
      </c>
      <c r="I193" t="s">
        <v>502</v>
      </c>
      <c r="J193" t="s">
        <v>503</v>
      </c>
      <c r="AG193" t="s">
        <v>775</v>
      </c>
      <c r="AH193" t="s">
        <v>776</v>
      </c>
      <c r="AI193" t="s">
        <v>353</v>
      </c>
      <c r="AJ193" t="s">
        <v>502</v>
      </c>
      <c r="AK193" s="1">
        <v>2005.56</v>
      </c>
      <c r="AL193" s="1">
        <v>0</v>
      </c>
      <c r="AM193" s="1">
        <v>2005.56</v>
      </c>
      <c r="AN193" s="1">
        <v>668.52</v>
      </c>
      <c r="AO193" s="1">
        <v>0</v>
      </c>
      <c r="AP193" s="1">
        <v>668.52</v>
      </c>
      <c r="AQ193" s="1">
        <v>662.04</v>
      </c>
      <c r="AR193" s="1">
        <v>0</v>
      </c>
      <c r="AS193" s="1">
        <v>662.04</v>
      </c>
      <c r="AT193" s="1">
        <v>0</v>
      </c>
      <c r="BA193" s="195"/>
      <c r="BB193" s="195"/>
      <c r="BC193" s="195"/>
      <c r="BD193" s="195"/>
      <c r="BE193" s="195"/>
      <c r="BF193" s="195"/>
      <c r="BG193" s="195"/>
      <c r="BH193" s="195"/>
      <c r="BI193" s="195"/>
    </row>
    <row r="194" spans="1:61" x14ac:dyDescent="0.25">
      <c r="A194" t="s">
        <v>343</v>
      </c>
      <c r="B194" t="s">
        <v>344</v>
      </c>
      <c r="C194" t="s">
        <v>345</v>
      </c>
      <c r="D194" t="s">
        <v>346</v>
      </c>
      <c r="E194" t="s">
        <v>487</v>
      </c>
      <c r="F194" t="s">
        <v>75</v>
      </c>
      <c r="G194" t="s">
        <v>488</v>
      </c>
      <c r="H194" t="s">
        <v>489</v>
      </c>
      <c r="I194" t="s">
        <v>502</v>
      </c>
      <c r="J194" t="s">
        <v>503</v>
      </c>
      <c r="AG194" t="s">
        <v>777</v>
      </c>
      <c r="AH194" t="s">
        <v>778</v>
      </c>
      <c r="AI194" t="s">
        <v>353</v>
      </c>
      <c r="AJ194" t="s">
        <v>502</v>
      </c>
      <c r="AK194" s="1">
        <v>6016.68</v>
      </c>
      <c r="AL194" s="1">
        <v>0</v>
      </c>
      <c r="AM194" s="1">
        <v>6016.68</v>
      </c>
      <c r="AN194" s="1">
        <v>2005.56</v>
      </c>
      <c r="AO194" s="1">
        <v>0</v>
      </c>
      <c r="AP194" s="1">
        <v>2005.56</v>
      </c>
      <c r="AQ194" s="1">
        <v>1986.12</v>
      </c>
      <c r="AR194" s="1">
        <v>0</v>
      </c>
      <c r="AS194" s="1">
        <v>1986.12</v>
      </c>
      <c r="AT194" s="1">
        <v>0</v>
      </c>
      <c r="BA194" s="195"/>
      <c r="BB194" s="195"/>
      <c r="BC194" s="195"/>
      <c r="BD194" s="195"/>
      <c r="BE194" s="195"/>
      <c r="BF194" s="195"/>
      <c r="BG194" s="195"/>
      <c r="BH194" s="195"/>
      <c r="BI194" s="195"/>
    </row>
    <row r="195" spans="1:61" x14ac:dyDescent="0.25">
      <c r="A195" t="s">
        <v>343</v>
      </c>
      <c r="B195" t="s">
        <v>344</v>
      </c>
      <c r="C195" t="s">
        <v>345</v>
      </c>
      <c r="D195" t="s">
        <v>346</v>
      </c>
      <c r="E195" t="s">
        <v>487</v>
      </c>
      <c r="F195" t="s">
        <v>75</v>
      </c>
      <c r="G195" t="s">
        <v>488</v>
      </c>
      <c r="H195" t="s">
        <v>489</v>
      </c>
      <c r="I195" t="s">
        <v>502</v>
      </c>
      <c r="J195" t="s">
        <v>503</v>
      </c>
      <c r="AG195" t="s">
        <v>779</v>
      </c>
      <c r="AH195" t="s">
        <v>780</v>
      </c>
      <c r="AI195" t="s">
        <v>353</v>
      </c>
      <c r="AJ195" t="s">
        <v>502</v>
      </c>
      <c r="AK195" s="1">
        <v>358931.58</v>
      </c>
      <c r="AL195" s="1">
        <v>0</v>
      </c>
      <c r="AM195" s="1">
        <v>358931.58</v>
      </c>
      <c r="AN195" s="1">
        <v>119643.86</v>
      </c>
      <c r="AO195" s="1">
        <v>0</v>
      </c>
      <c r="AP195" s="1">
        <v>119643.86</v>
      </c>
      <c r="AQ195" s="1">
        <v>66460.73</v>
      </c>
      <c r="AR195" s="1">
        <v>0</v>
      </c>
      <c r="AS195" s="1">
        <v>66460.73</v>
      </c>
      <c r="AT195" s="1">
        <v>0</v>
      </c>
      <c r="BA195" s="195"/>
      <c r="BB195" s="195"/>
      <c r="BC195" s="195"/>
      <c r="BD195" s="195"/>
      <c r="BE195" s="195"/>
      <c r="BF195" s="195"/>
      <c r="BG195" s="195"/>
      <c r="BH195" s="195"/>
      <c r="BI195" s="195"/>
    </row>
    <row r="196" spans="1:61" x14ac:dyDescent="0.25">
      <c r="A196" t="s">
        <v>343</v>
      </c>
      <c r="B196" t="s">
        <v>344</v>
      </c>
      <c r="C196" t="s">
        <v>345</v>
      </c>
      <c r="D196" t="s">
        <v>346</v>
      </c>
      <c r="E196" t="s">
        <v>487</v>
      </c>
      <c r="F196" t="s">
        <v>75</v>
      </c>
      <c r="G196" t="s">
        <v>488</v>
      </c>
      <c r="H196" t="s">
        <v>489</v>
      </c>
      <c r="I196" t="s">
        <v>502</v>
      </c>
      <c r="J196" t="s">
        <v>503</v>
      </c>
      <c r="AG196" t="s">
        <v>781</v>
      </c>
      <c r="AH196" t="s">
        <v>782</v>
      </c>
      <c r="AI196" t="s">
        <v>353</v>
      </c>
      <c r="AJ196" t="s">
        <v>502</v>
      </c>
      <c r="AK196" s="1">
        <v>77222.070000000007</v>
      </c>
      <c r="AL196" s="1">
        <v>0</v>
      </c>
      <c r="AM196" s="1">
        <v>77222.070000000007</v>
      </c>
      <c r="AN196" s="1">
        <v>25740.69</v>
      </c>
      <c r="AO196" s="1">
        <v>0</v>
      </c>
      <c r="AP196" s="1">
        <v>25740.69</v>
      </c>
      <c r="AQ196" s="1">
        <v>14143.74</v>
      </c>
      <c r="AR196" s="1">
        <v>0</v>
      </c>
      <c r="AS196" s="1">
        <v>14143.74</v>
      </c>
      <c r="AT196" s="1">
        <v>0</v>
      </c>
      <c r="BA196" s="195"/>
      <c r="BB196" s="195"/>
      <c r="BC196" s="195"/>
      <c r="BD196" s="195"/>
      <c r="BE196" s="195"/>
      <c r="BF196" s="195"/>
      <c r="BG196" s="195"/>
      <c r="BH196" s="195"/>
      <c r="BI196" s="195"/>
    </row>
    <row r="197" spans="1:61" x14ac:dyDescent="0.25">
      <c r="A197" t="s">
        <v>343</v>
      </c>
      <c r="B197" t="s">
        <v>344</v>
      </c>
      <c r="C197" t="s">
        <v>345</v>
      </c>
      <c r="D197" t="s">
        <v>346</v>
      </c>
      <c r="E197" t="s">
        <v>487</v>
      </c>
      <c r="F197" t="s">
        <v>75</v>
      </c>
      <c r="G197" t="s">
        <v>488</v>
      </c>
      <c r="H197" t="s">
        <v>489</v>
      </c>
      <c r="I197" t="s">
        <v>502</v>
      </c>
      <c r="J197" t="s">
        <v>503</v>
      </c>
      <c r="AG197" t="s">
        <v>783</v>
      </c>
      <c r="AH197" t="s">
        <v>784</v>
      </c>
      <c r="AI197" t="s">
        <v>353</v>
      </c>
      <c r="AJ197" t="s">
        <v>502</v>
      </c>
      <c r="AK197" s="1">
        <v>387354.54</v>
      </c>
      <c r="AL197" s="1">
        <v>0</v>
      </c>
      <c r="AM197" s="1">
        <v>387354.54</v>
      </c>
      <c r="AN197" s="1">
        <v>129118.18</v>
      </c>
      <c r="AO197" s="1">
        <v>0</v>
      </c>
      <c r="AP197" s="1">
        <v>129118.18</v>
      </c>
      <c r="AQ197" s="1">
        <v>211607.02</v>
      </c>
      <c r="AR197" s="1">
        <v>0</v>
      </c>
      <c r="AS197" s="1">
        <v>211607.02</v>
      </c>
      <c r="AT197" s="1">
        <v>0</v>
      </c>
      <c r="BA197" s="195"/>
      <c r="BB197" s="195"/>
      <c r="BC197" s="195"/>
      <c r="BD197" s="195"/>
      <c r="BE197" s="195"/>
      <c r="BF197" s="195"/>
      <c r="BG197" s="195"/>
      <c r="BH197" s="195"/>
      <c r="BI197" s="195"/>
    </row>
    <row r="198" spans="1:61" x14ac:dyDescent="0.25">
      <c r="A198" t="s">
        <v>343</v>
      </c>
      <c r="B198" t="s">
        <v>344</v>
      </c>
      <c r="C198" t="s">
        <v>345</v>
      </c>
      <c r="D198" t="s">
        <v>346</v>
      </c>
      <c r="E198" t="s">
        <v>487</v>
      </c>
      <c r="F198" t="s">
        <v>75</v>
      </c>
      <c r="G198" t="s">
        <v>488</v>
      </c>
      <c r="H198" t="s">
        <v>489</v>
      </c>
      <c r="I198" t="s">
        <v>502</v>
      </c>
      <c r="J198" t="s">
        <v>503</v>
      </c>
      <c r="AG198" t="s">
        <v>785</v>
      </c>
      <c r="AH198" t="s">
        <v>786</v>
      </c>
      <c r="AI198" t="s">
        <v>353</v>
      </c>
      <c r="AJ198" t="s">
        <v>502</v>
      </c>
      <c r="AK198" s="1">
        <v>526091.55000000005</v>
      </c>
      <c r="AL198" s="1">
        <v>0</v>
      </c>
      <c r="AM198" s="1">
        <v>526091.55000000005</v>
      </c>
      <c r="AN198" s="1">
        <v>175363.85</v>
      </c>
      <c r="AO198" s="1">
        <v>0</v>
      </c>
      <c r="AP198" s="1">
        <v>175363.85</v>
      </c>
      <c r="AQ198" s="1">
        <v>304157.21000000002</v>
      </c>
      <c r="AR198" s="1">
        <v>0</v>
      </c>
      <c r="AS198" s="1">
        <v>304157.21000000002</v>
      </c>
      <c r="AT198" s="1">
        <v>0</v>
      </c>
      <c r="BA198" s="195"/>
      <c r="BB198" s="195"/>
      <c r="BC198" s="195"/>
      <c r="BD198" s="195"/>
      <c r="BE198" s="195"/>
      <c r="BF198" s="195"/>
      <c r="BG198" s="195"/>
      <c r="BH198" s="195"/>
      <c r="BI198" s="195"/>
    </row>
    <row r="199" spans="1:61" x14ac:dyDescent="0.25">
      <c r="A199" t="s">
        <v>343</v>
      </c>
      <c r="B199" t="s">
        <v>344</v>
      </c>
      <c r="C199" t="s">
        <v>345</v>
      </c>
      <c r="D199" t="s">
        <v>346</v>
      </c>
      <c r="E199" t="s">
        <v>487</v>
      </c>
      <c r="F199" t="s">
        <v>75</v>
      </c>
      <c r="G199" t="s">
        <v>488</v>
      </c>
      <c r="H199" t="s">
        <v>489</v>
      </c>
      <c r="I199" t="s">
        <v>502</v>
      </c>
      <c r="J199" t="s">
        <v>503</v>
      </c>
      <c r="AG199" t="s">
        <v>787</v>
      </c>
      <c r="AH199" t="s">
        <v>788</v>
      </c>
      <c r="AI199" t="s">
        <v>353</v>
      </c>
      <c r="AJ199" t="s">
        <v>502</v>
      </c>
      <c r="AK199" s="1">
        <v>43200</v>
      </c>
      <c r="AL199" s="1">
        <v>0</v>
      </c>
      <c r="AM199" s="1">
        <v>43200</v>
      </c>
      <c r="AN199" s="1">
        <v>14400</v>
      </c>
      <c r="AO199" s="1">
        <v>0</v>
      </c>
      <c r="AP199" s="1">
        <v>14400</v>
      </c>
      <c r="AQ199" s="1">
        <v>0</v>
      </c>
      <c r="AR199" s="1">
        <v>0</v>
      </c>
      <c r="AS199" s="1">
        <v>0</v>
      </c>
      <c r="AT199" s="1">
        <v>0</v>
      </c>
      <c r="BA199" s="195"/>
      <c r="BB199" s="195"/>
      <c r="BC199" s="195"/>
      <c r="BD199" s="195"/>
      <c r="BE199" s="195"/>
      <c r="BF199" s="195"/>
      <c r="BG199" s="195"/>
      <c r="BH199" s="195"/>
      <c r="BI199" s="195"/>
    </row>
    <row r="200" spans="1:61" x14ac:dyDescent="0.25">
      <c r="A200" t="s">
        <v>343</v>
      </c>
      <c r="B200" t="s">
        <v>344</v>
      </c>
      <c r="C200" t="s">
        <v>345</v>
      </c>
      <c r="D200" t="s">
        <v>346</v>
      </c>
      <c r="E200" t="s">
        <v>487</v>
      </c>
      <c r="F200" t="s">
        <v>75</v>
      </c>
      <c r="G200" t="s">
        <v>488</v>
      </c>
      <c r="H200" t="s">
        <v>489</v>
      </c>
      <c r="I200" t="s">
        <v>502</v>
      </c>
      <c r="J200" t="s">
        <v>503</v>
      </c>
      <c r="AG200" t="s">
        <v>789</v>
      </c>
      <c r="AH200" t="s">
        <v>790</v>
      </c>
      <c r="AI200" t="s">
        <v>353</v>
      </c>
      <c r="AJ200" t="s">
        <v>502</v>
      </c>
      <c r="AK200" s="1">
        <v>5971.05</v>
      </c>
      <c r="AL200" s="1">
        <v>0</v>
      </c>
      <c r="AM200" s="1">
        <v>5971.05</v>
      </c>
      <c r="AN200" s="1">
        <v>1990.35</v>
      </c>
      <c r="AO200" s="1">
        <v>0</v>
      </c>
      <c r="AP200" s="1">
        <v>1990.35</v>
      </c>
      <c r="AQ200" s="1">
        <v>11153.3</v>
      </c>
      <c r="AR200" s="1">
        <v>0</v>
      </c>
      <c r="AS200" s="1">
        <v>11153.3</v>
      </c>
      <c r="AT200" s="1">
        <v>0</v>
      </c>
      <c r="BA200" s="195"/>
      <c r="BB200" s="195"/>
      <c r="BC200" s="195"/>
      <c r="BD200" s="195"/>
      <c r="BE200" s="195"/>
      <c r="BF200" s="195"/>
      <c r="BG200" s="195"/>
      <c r="BH200" s="195"/>
      <c r="BI200" s="195"/>
    </row>
    <row r="201" spans="1:61" x14ac:dyDescent="0.25">
      <c r="A201" t="s">
        <v>343</v>
      </c>
      <c r="B201" t="s">
        <v>344</v>
      </c>
      <c r="C201" t="s">
        <v>345</v>
      </c>
      <c r="D201" t="s">
        <v>346</v>
      </c>
      <c r="E201" t="s">
        <v>487</v>
      </c>
      <c r="F201" t="s">
        <v>75</v>
      </c>
      <c r="G201" t="s">
        <v>488</v>
      </c>
      <c r="H201" t="s">
        <v>489</v>
      </c>
      <c r="I201" t="s">
        <v>502</v>
      </c>
      <c r="J201" t="s">
        <v>503</v>
      </c>
      <c r="AG201" t="s">
        <v>791</v>
      </c>
      <c r="AH201" t="s">
        <v>792</v>
      </c>
      <c r="AI201" t="s">
        <v>353</v>
      </c>
      <c r="AJ201" t="s">
        <v>502</v>
      </c>
      <c r="AK201" s="1">
        <v>29172</v>
      </c>
      <c r="AL201" s="1">
        <v>0</v>
      </c>
      <c r="AM201" s="1">
        <v>29172</v>
      </c>
      <c r="AN201" s="1">
        <v>9724</v>
      </c>
      <c r="AO201" s="1">
        <v>0</v>
      </c>
      <c r="AP201" s="1">
        <v>9724</v>
      </c>
      <c r="AQ201" s="1">
        <v>-283</v>
      </c>
      <c r="AR201" s="1">
        <v>0</v>
      </c>
      <c r="AS201" s="1">
        <v>-283</v>
      </c>
      <c r="AT201" s="1">
        <v>0</v>
      </c>
      <c r="BA201" s="195"/>
      <c r="BB201" s="195"/>
      <c r="BC201" s="195"/>
      <c r="BD201" s="195"/>
      <c r="BE201" s="195"/>
      <c r="BF201" s="195"/>
      <c r="BG201" s="195"/>
      <c r="BH201" s="195"/>
      <c r="BI201" s="195"/>
    </row>
    <row r="202" spans="1:61" x14ac:dyDescent="0.25">
      <c r="A202" t="s">
        <v>343</v>
      </c>
      <c r="B202" t="s">
        <v>344</v>
      </c>
      <c r="C202" t="s">
        <v>345</v>
      </c>
      <c r="D202" t="s">
        <v>346</v>
      </c>
      <c r="E202" t="s">
        <v>487</v>
      </c>
      <c r="F202" t="s">
        <v>75</v>
      </c>
      <c r="G202" t="s">
        <v>488</v>
      </c>
      <c r="H202" t="s">
        <v>489</v>
      </c>
      <c r="I202" t="s">
        <v>502</v>
      </c>
      <c r="J202" t="s">
        <v>503</v>
      </c>
      <c r="AG202" t="s">
        <v>793</v>
      </c>
      <c r="AH202" t="s">
        <v>794</v>
      </c>
      <c r="AI202" t="s">
        <v>353</v>
      </c>
      <c r="AJ202" t="s">
        <v>502</v>
      </c>
      <c r="AK202" s="1">
        <v>37500</v>
      </c>
      <c r="AL202" s="1">
        <v>0</v>
      </c>
      <c r="AM202" s="1">
        <v>37500</v>
      </c>
      <c r="AN202" s="1">
        <v>12500</v>
      </c>
      <c r="AO202" s="1">
        <v>0</v>
      </c>
      <c r="AP202" s="1">
        <v>12500</v>
      </c>
      <c r="AQ202" s="1">
        <v>0</v>
      </c>
      <c r="AR202" s="1">
        <v>0</v>
      </c>
      <c r="AS202" s="1">
        <v>0</v>
      </c>
      <c r="AT202" s="1">
        <v>0</v>
      </c>
      <c r="BA202" s="195"/>
      <c r="BB202" s="195"/>
      <c r="BC202" s="195"/>
      <c r="BD202" s="195"/>
      <c r="BE202" s="195"/>
      <c r="BF202" s="195"/>
      <c r="BG202" s="195"/>
      <c r="BH202" s="195"/>
      <c r="BI202" s="195"/>
    </row>
    <row r="203" spans="1:61" x14ac:dyDescent="0.25">
      <c r="A203" t="s">
        <v>343</v>
      </c>
      <c r="B203" t="s">
        <v>344</v>
      </c>
      <c r="C203" t="s">
        <v>345</v>
      </c>
      <c r="D203" t="s">
        <v>346</v>
      </c>
      <c r="E203" t="s">
        <v>487</v>
      </c>
      <c r="F203" t="s">
        <v>75</v>
      </c>
      <c r="G203" t="s">
        <v>488</v>
      </c>
      <c r="H203" t="s">
        <v>489</v>
      </c>
      <c r="I203" t="s">
        <v>502</v>
      </c>
      <c r="J203" t="s">
        <v>503</v>
      </c>
      <c r="AG203" t="s">
        <v>795</v>
      </c>
      <c r="AH203" t="s">
        <v>796</v>
      </c>
      <c r="AI203" t="s">
        <v>353</v>
      </c>
      <c r="AJ203" t="s">
        <v>502</v>
      </c>
      <c r="AK203" s="1">
        <v>115.08</v>
      </c>
      <c r="AL203" s="1">
        <v>0</v>
      </c>
      <c r="AM203" s="1">
        <v>115.08</v>
      </c>
      <c r="AN203" s="1">
        <v>38.36</v>
      </c>
      <c r="AO203" s="1">
        <v>0</v>
      </c>
      <c r="AP203" s="1">
        <v>38.36</v>
      </c>
      <c r="AQ203" s="1">
        <v>2912.94</v>
      </c>
      <c r="AR203" s="1">
        <v>0</v>
      </c>
      <c r="AS203" s="1">
        <v>2912.94</v>
      </c>
      <c r="AT203" s="1">
        <v>0</v>
      </c>
      <c r="BA203" s="195"/>
      <c r="BB203" s="195"/>
      <c r="BC203" s="195"/>
      <c r="BD203" s="195"/>
      <c r="BE203" s="195"/>
      <c r="BF203" s="195"/>
      <c r="BG203" s="195"/>
      <c r="BH203" s="195"/>
      <c r="BI203" s="195"/>
    </row>
    <row r="204" spans="1:61" x14ac:dyDescent="0.25">
      <c r="A204" t="s">
        <v>343</v>
      </c>
      <c r="B204" t="s">
        <v>344</v>
      </c>
      <c r="C204" t="s">
        <v>345</v>
      </c>
      <c r="D204" t="s">
        <v>346</v>
      </c>
      <c r="E204" t="s">
        <v>487</v>
      </c>
      <c r="F204" t="s">
        <v>75</v>
      </c>
      <c r="G204" t="s">
        <v>488</v>
      </c>
      <c r="H204" t="s">
        <v>489</v>
      </c>
      <c r="I204" t="s">
        <v>502</v>
      </c>
      <c r="J204" t="s">
        <v>503</v>
      </c>
      <c r="AG204" t="s">
        <v>797</v>
      </c>
      <c r="AH204" t="s">
        <v>798</v>
      </c>
      <c r="AI204" t="s">
        <v>353</v>
      </c>
      <c r="AJ204" t="s">
        <v>502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950</v>
      </c>
      <c r="AR204" s="1">
        <v>0</v>
      </c>
      <c r="AS204" s="1">
        <v>950</v>
      </c>
      <c r="AT204" s="1">
        <v>0</v>
      </c>
      <c r="BA204" s="195"/>
      <c r="BB204" s="195"/>
      <c r="BC204" s="195"/>
      <c r="BD204" s="195"/>
      <c r="BE204" s="195"/>
      <c r="BF204" s="195"/>
      <c r="BG204" s="195"/>
      <c r="BH204" s="195"/>
      <c r="BI204" s="195"/>
    </row>
    <row r="205" spans="1:61" x14ac:dyDescent="0.25">
      <c r="A205" t="s">
        <v>343</v>
      </c>
      <c r="B205" t="s">
        <v>344</v>
      </c>
      <c r="C205" t="s">
        <v>345</v>
      </c>
      <c r="D205" t="s">
        <v>346</v>
      </c>
      <c r="E205" t="s">
        <v>487</v>
      </c>
      <c r="F205" t="s">
        <v>75</v>
      </c>
      <c r="G205" t="s">
        <v>488</v>
      </c>
      <c r="H205" t="s">
        <v>489</v>
      </c>
      <c r="I205" t="s">
        <v>502</v>
      </c>
      <c r="J205" t="s">
        <v>503</v>
      </c>
      <c r="AG205" t="s">
        <v>799</v>
      </c>
      <c r="AH205" t="s">
        <v>800</v>
      </c>
      <c r="AI205" t="s">
        <v>353</v>
      </c>
      <c r="AJ205" t="s">
        <v>502</v>
      </c>
      <c r="AK205" s="1">
        <v>12989.25</v>
      </c>
      <c r="AL205" s="1">
        <v>0</v>
      </c>
      <c r="AM205" s="1">
        <v>12989.25</v>
      </c>
      <c r="AN205" s="1">
        <v>4329.75</v>
      </c>
      <c r="AO205" s="1">
        <v>0</v>
      </c>
      <c r="AP205" s="1">
        <v>4329.75</v>
      </c>
      <c r="AQ205" s="1">
        <v>2480.04</v>
      </c>
      <c r="AR205" s="1">
        <v>0</v>
      </c>
      <c r="AS205" s="1">
        <v>2480.04</v>
      </c>
      <c r="AT205" s="1">
        <v>0</v>
      </c>
      <c r="BA205" s="195"/>
      <c r="BB205" s="195"/>
      <c r="BC205" s="195"/>
      <c r="BD205" s="195"/>
      <c r="BE205" s="195"/>
      <c r="BF205" s="195"/>
      <c r="BG205" s="195"/>
      <c r="BH205" s="195"/>
      <c r="BI205" s="195"/>
    </row>
    <row r="206" spans="1:61" x14ac:dyDescent="0.25">
      <c r="A206" t="s">
        <v>343</v>
      </c>
      <c r="B206" t="s">
        <v>344</v>
      </c>
      <c r="C206" t="s">
        <v>345</v>
      </c>
      <c r="D206" t="s">
        <v>346</v>
      </c>
      <c r="E206" t="s">
        <v>487</v>
      </c>
      <c r="F206" t="s">
        <v>75</v>
      </c>
      <c r="G206" t="s">
        <v>488</v>
      </c>
      <c r="H206" t="s">
        <v>489</v>
      </c>
      <c r="I206" t="s">
        <v>502</v>
      </c>
      <c r="J206" t="s">
        <v>503</v>
      </c>
      <c r="AG206" t="s">
        <v>801</v>
      </c>
      <c r="AH206" t="s">
        <v>802</v>
      </c>
      <c r="AI206" t="s">
        <v>353</v>
      </c>
      <c r="AJ206" t="s">
        <v>502</v>
      </c>
      <c r="AK206" s="1">
        <v>122132.1</v>
      </c>
      <c r="AL206" s="1">
        <v>0</v>
      </c>
      <c r="AM206" s="1">
        <v>122132.1</v>
      </c>
      <c r="AN206" s="1">
        <v>40710.699999999997</v>
      </c>
      <c r="AO206" s="1">
        <v>0</v>
      </c>
      <c r="AP206" s="1">
        <v>40710.699999999997</v>
      </c>
      <c r="AQ206" s="1">
        <v>27022.240000000002</v>
      </c>
      <c r="AR206" s="1">
        <v>0</v>
      </c>
      <c r="AS206" s="1">
        <v>27022.240000000002</v>
      </c>
      <c r="AT206" s="1">
        <v>0</v>
      </c>
      <c r="BA206" s="195"/>
      <c r="BB206" s="195"/>
      <c r="BC206" s="195"/>
      <c r="BD206" s="195"/>
      <c r="BE206" s="195"/>
      <c r="BF206" s="195"/>
      <c r="BG206" s="195"/>
      <c r="BH206" s="195"/>
      <c r="BI206" s="195"/>
    </row>
    <row r="207" spans="1:61" x14ac:dyDescent="0.25">
      <c r="A207" t="s">
        <v>343</v>
      </c>
      <c r="B207" t="s">
        <v>344</v>
      </c>
      <c r="C207" t="s">
        <v>345</v>
      </c>
      <c r="D207" t="s">
        <v>346</v>
      </c>
      <c r="E207" t="s">
        <v>487</v>
      </c>
      <c r="F207" t="s">
        <v>75</v>
      </c>
      <c r="G207" t="s">
        <v>488</v>
      </c>
      <c r="H207" t="s">
        <v>489</v>
      </c>
      <c r="I207" t="s">
        <v>502</v>
      </c>
      <c r="J207" t="s">
        <v>503</v>
      </c>
      <c r="AG207" t="s">
        <v>803</v>
      </c>
      <c r="AH207" t="s">
        <v>804</v>
      </c>
      <c r="AI207" t="s">
        <v>353</v>
      </c>
      <c r="AJ207" t="s">
        <v>502</v>
      </c>
      <c r="AK207" s="1">
        <v>0.24</v>
      </c>
      <c r="AL207" s="1">
        <v>0</v>
      </c>
      <c r="AM207" s="1">
        <v>0.24</v>
      </c>
      <c r="AN207" s="1">
        <v>0.08</v>
      </c>
      <c r="AO207" s="1">
        <v>0</v>
      </c>
      <c r="AP207" s="1">
        <v>0.08</v>
      </c>
      <c r="AQ207" s="1">
        <v>0</v>
      </c>
      <c r="AR207" s="1">
        <v>0</v>
      </c>
      <c r="AS207" s="1">
        <v>0</v>
      </c>
      <c r="AT207" s="1">
        <v>0</v>
      </c>
      <c r="BA207" s="195"/>
      <c r="BB207" s="195"/>
      <c r="BC207" s="195"/>
      <c r="BD207" s="195"/>
      <c r="BE207" s="195"/>
      <c r="BF207" s="195"/>
      <c r="BG207" s="195"/>
      <c r="BH207" s="195"/>
      <c r="BI207" s="195"/>
    </row>
    <row r="208" spans="1:61" x14ac:dyDescent="0.25">
      <c r="A208" t="s">
        <v>343</v>
      </c>
      <c r="B208" t="s">
        <v>344</v>
      </c>
      <c r="C208" t="s">
        <v>345</v>
      </c>
      <c r="D208" t="s">
        <v>346</v>
      </c>
      <c r="E208" t="s">
        <v>487</v>
      </c>
      <c r="F208" t="s">
        <v>75</v>
      </c>
      <c r="G208" t="s">
        <v>488</v>
      </c>
      <c r="H208" t="s">
        <v>489</v>
      </c>
      <c r="I208" t="s">
        <v>502</v>
      </c>
      <c r="J208" t="s">
        <v>503</v>
      </c>
      <c r="AG208" t="s">
        <v>805</v>
      </c>
      <c r="AH208" t="s">
        <v>806</v>
      </c>
      <c r="AI208" t="s">
        <v>353</v>
      </c>
      <c r="AJ208" t="s">
        <v>502</v>
      </c>
      <c r="AK208" s="1">
        <v>143678.76</v>
      </c>
      <c r="AL208" s="1">
        <v>0</v>
      </c>
      <c r="AM208" s="1">
        <v>143678.76</v>
      </c>
      <c r="AN208" s="1">
        <v>47892.92</v>
      </c>
      <c r="AO208" s="1">
        <v>0</v>
      </c>
      <c r="AP208" s="1">
        <v>47892.92</v>
      </c>
      <c r="AQ208" s="1">
        <v>9.9499999999999993</v>
      </c>
      <c r="AR208" s="1">
        <v>0</v>
      </c>
      <c r="AS208" s="1">
        <v>9.9499999999999993</v>
      </c>
      <c r="AT208" s="1">
        <v>0</v>
      </c>
      <c r="BA208" s="195"/>
      <c r="BB208" s="195"/>
      <c r="BC208" s="195"/>
      <c r="BD208" s="195"/>
      <c r="BE208" s="195"/>
      <c r="BF208" s="195"/>
      <c r="BG208" s="195"/>
      <c r="BH208" s="195"/>
      <c r="BI208" s="195"/>
    </row>
    <row r="209" spans="1:61" x14ac:dyDescent="0.25">
      <c r="A209" t="s">
        <v>343</v>
      </c>
      <c r="B209" t="s">
        <v>344</v>
      </c>
      <c r="C209" t="s">
        <v>345</v>
      </c>
      <c r="D209" t="s">
        <v>346</v>
      </c>
      <c r="E209" t="s">
        <v>487</v>
      </c>
      <c r="F209" t="s">
        <v>75</v>
      </c>
      <c r="G209" t="s">
        <v>488</v>
      </c>
      <c r="H209" t="s">
        <v>489</v>
      </c>
      <c r="I209" t="s">
        <v>502</v>
      </c>
      <c r="J209" t="s">
        <v>503</v>
      </c>
      <c r="AG209" t="s">
        <v>807</v>
      </c>
      <c r="AH209" t="s">
        <v>808</v>
      </c>
      <c r="AI209" t="s">
        <v>353</v>
      </c>
      <c r="AJ209" t="s">
        <v>502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0.84</v>
      </c>
      <c r="AR209" s="1">
        <v>0</v>
      </c>
      <c r="AS209" s="1">
        <v>0.84</v>
      </c>
      <c r="AT209" s="1">
        <v>0</v>
      </c>
      <c r="BA209" s="195"/>
      <c r="BB209" s="195"/>
      <c r="BC209" s="195"/>
      <c r="BD209" s="195"/>
      <c r="BE209" s="195"/>
      <c r="BF209" s="195"/>
      <c r="BG209" s="195"/>
      <c r="BH209" s="195"/>
      <c r="BI209" s="195"/>
    </row>
    <row r="210" spans="1:61" x14ac:dyDescent="0.25">
      <c r="A210" t="s">
        <v>343</v>
      </c>
      <c r="B210" t="s">
        <v>344</v>
      </c>
      <c r="C210" t="s">
        <v>345</v>
      </c>
      <c r="D210" t="s">
        <v>346</v>
      </c>
      <c r="E210" t="s">
        <v>487</v>
      </c>
      <c r="F210" t="s">
        <v>75</v>
      </c>
      <c r="G210" t="s">
        <v>488</v>
      </c>
      <c r="H210" t="s">
        <v>489</v>
      </c>
      <c r="I210" t="s">
        <v>502</v>
      </c>
      <c r="J210" t="s">
        <v>503</v>
      </c>
      <c r="AG210" t="s">
        <v>809</v>
      </c>
      <c r="AH210" t="s">
        <v>810</v>
      </c>
      <c r="AI210" t="s">
        <v>353</v>
      </c>
      <c r="AJ210" t="s">
        <v>502</v>
      </c>
      <c r="AK210" s="1">
        <v>1406112.75</v>
      </c>
      <c r="AL210" s="1">
        <v>0</v>
      </c>
      <c r="AM210" s="1">
        <v>1406112.75</v>
      </c>
      <c r="AN210" s="1">
        <v>468704.25</v>
      </c>
      <c r="AO210" s="1">
        <v>0</v>
      </c>
      <c r="AP210" s="1">
        <v>468704.25</v>
      </c>
      <c r="AQ210" s="1">
        <v>531657.6</v>
      </c>
      <c r="AR210" s="1">
        <v>0</v>
      </c>
      <c r="AS210" s="1">
        <v>531657.6</v>
      </c>
      <c r="AT210" s="1">
        <v>0</v>
      </c>
      <c r="BA210" s="195"/>
      <c r="BB210" s="195"/>
      <c r="BC210" s="195"/>
      <c r="BD210" s="195"/>
      <c r="BE210" s="195"/>
      <c r="BF210" s="195"/>
      <c r="BG210" s="195"/>
      <c r="BH210" s="195"/>
      <c r="BI210" s="195"/>
    </row>
    <row r="211" spans="1:61" x14ac:dyDescent="0.25">
      <c r="A211" t="s">
        <v>343</v>
      </c>
      <c r="B211" t="s">
        <v>344</v>
      </c>
      <c r="C211" t="s">
        <v>345</v>
      </c>
      <c r="D211" t="s">
        <v>346</v>
      </c>
      <c r="E211" t="s">
        <v>487</v>
      </c>
      <c r="F211" t="s">
        <v>75</v>
      </c>
      <c r="G211" t="s">
        <v>488</v>
      </c>
      <c r="H211" t="s">
        <v>489</v>
      </c>
      <c r="I211" t="s">
        <v>502</v>
      </c>
      <c r="J211" t="s">
        <v>503</v>
      </c>
      <c r="AG211" t="s">
        <v>811</v>
      </c>
      <c r="AH211" t="s">
        <v>812</v>
      </c>
      <c r="AI211" t="s">
        <v>353</v>
      </c>
      <c r="AJ211" t="s">
        <v>502</v>
      </c>
      <c r="AK211" s="1">
        <v>9000</v>
      </c>
      <c r="AL211" s="1">
        <v>0</v>
      </c>
      <c r="AM211" s="1">
        <v>9000</v>
      </c>
      <c r="AN211" s="1">
        <v>3000</v>
      </c>
      <c r="AO211" s="1">
        <v>0</v>
      </c>
      <c r="AP211" s="1">
        <v>3000</v>
      </c>
      <c r="AQ211" s="1">
        <v>3048</v>
      </c>
      <c r="AR211" s="1">
        <v>0</v>
      </c>
      <c r="AS211" s="1">
        <v>3048</v>
      </c>
      <c r="AT211" s="1">
        <v>0</v>
      </c>
      <c r="BA211" s="195"/>
      <c r="BB211" s="195"/>
      <c r="BC211" s="195"/>
      <c r="BD211" s="195"/>
      <c r="BE211" s="195"/>
      <c r="BF211" s="195"/>
      <c r="BG211" s="195"/>
      <c r="BH211" s="195"/>
      <c r="BI211" s="195"/>
    </row>
    <row r="212" spans="1:61" x14ac:dyDescent="0.25">
      <c r="A212" t="s">
        <v>343</v>
      </c>
      <c r="B212" t="s">
        <v>344</v>
      </c>
      <c r="C212" t="s">
        <v>345</v>
      </c>
      <c r="D212" t="s">
        <v>346</v>
      </c>
      <c r="E212" t="s">
        <v>487</v>
      </c>
      <c r="F212" t="s">
        <v>75</v>
      </c>
      <c r="G212" t="s">
        <v>488</v>
      </c>
      <c r="H212" t="s">
        <v>489</v>
      </c>
      <c r="I212" t="s">
        <v>502</v>
      </c>
      <c r="J212" t="s">
        <v>503</v>
      </c>
      <c r="AG212" t="s">
        <v>813</v>
      </c>
      <c r="AH212" t="s">
        <v>814</v>
      </c>
      <c r="AI212" t="s">
        <v>353</v>
      </c>
      <c r="AJ212" t="s">
        <v>502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276.24</v>
      </c>
      <c r="AR212" s="1">
        <v>0</v>
      </c>
      <c r="AS212" s="1">
        <v>276.24</v>
      </c>
      <c r="AT212" s="1">
        <v>0</v>
      </c>
      <c r="BA212" s="195"/>
      <c r="BB212" s="195"/>
      <c r="BC212" s="195"/>
      <c r="BD212" s="195"/>
      <c r="BE212" s="195"/>
      <c r="BF212" s="195"/>
      <c r="BG212" s="195"/>
      <c r="BH212" s="195"/>
      <c r="BI212" s="195"/>
    </row>
    <row r="213" spans="1:61" x14ac:dyDescent="0.25">
      <c r="A213" t="s">
        <v>343</v>
      </c>
      <c r="B213" t="s">
        <v>344</v>
      </c>
      <c r="C213" t="s">
        <v>345</v>
      </c>
      <c r="D213" t="s">
        <v>346</v>
      </c>
      <c r="E213" t="s">
        <v>487</v>
      </c>
      <c r="F213" t="s">
        <v>75</v>
      </c>
      <c r="G213" t="s">
        <v>488</v>
      </c>
      <c r="H213" t="s">
        <v>489</v>
      </c>
      <c r="I213" t="s">
        <v>502</v>
      </c>
      <c r="J213" t="s">
        <v>503</v>
      </c>
      <c r="AG213" t="s">
        <v>815</v>
      </c>
      <c r="AH213" t="s">
        <v>816</v>
      </c>
      <c r="AI213" t="s">
        <v>353</v>
      </c>
      <c r="AJ213" t="s">
        <v>502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3126.14</v>
      </c>
      <c r="AR213" s="1">
        <v>0</v>
      </c>
      <c r="AS213" s="1">
        <v>3126.14</v>
      </c>
      <c r="AT213" s="1">
        <v>0</v>
      </c>
      <c r="BA213" s="195"/>
      <c r="BB213" s="195"/>
      <c r="BC213" s="195"/>
      <c r="BD213" s="195"/>
      <c r="BE213" s="195"/>
      <c r="BF213" s="195"/>
      <c r="BG213" s="195"/>
      <c r="BH213" s="195"/>
      <c r="BI213" s="195"/>
    </row>
    <row r="214" spans="1:61" x14ac:dyDescent="0.25">
      <c r="A214" t="s">
        <v>343</v>
      </c>
      <c r="B214" t="s">
        <v>344</v>
      </c>
      <c r="C214" t="s">
        <v>345</v>
      </c>
      <c r="D214" t="s">
        <v>346</v>
      </c>
      <c r="E214" t="s">
        <v>487</v>
      </c>
      <c r="F214" t="s">
        <v>75</v>
      </c>
      <c r="G214" t="s">
        <v>488</v>
      </c>
      <c r="H214" t="s">
        <v>489</v>
      </c>
      <c r="I214" t="s">
        <v>502</v>
      </c>
      <c r="J214" t="s">
        <v>503</v>
      </c>
      <c r="AG214" t="s">
        <v>817</v>
      </c>
      <c r="AH214" t="s">
        <v>818</v>
      </c>
      <c r="AI214" t="s">
        <v>353</v>
      </c>
      <c r="AJ214" t="s">
        <v>502</v>
      </c>
      <c r="AK214" s="1">
        <v>22016.1</v>
      </c>
      <c r="AL214" s="1">
        <v>0</v>
      </c>
      <c r="AM214" s="1">
        <v>22016.1</v>
      </c>
      <c r="AN214" s="1">
        <v>7338.7</v>
      </c>
      <c r="AO214" s="1">
        <v>0</v>
      </c>
      <c r="AP214" s="1">
        <v>7338.7</v>
      </c>
      <c r="AQ214" s="1">
        <v>34725.339999999997</v>
      </c>
      <c r="AR214" s="1">
        <v>0</v>
      </c>
      <c r="AS214" s="1">
        <v>34725.339999999997</v>
      </c>
      <c r="AT214" s="1">
        <v>0</v>
      </c>
      <c r="BA214" s="195"/>
      <c r="BB214" s="195"/>
      <c r="BC214" s="195"/>
      <c r="BD214" s="195"/>
      <c r="BE214" s="195"/>
      <c r="BF214" s="195"/>
      <c r="BG214" s="195"/>
      <c r="BH214" s="195"/>
      <c r="BI214" s="195"/>
    </row>
    <row r="215" spans="1:61" x14ac:dyDescent="0.25">
      <c r="A215" t="s">
        <v>343</v>
      </c>
      <c r="B215" t="s">
        <v>344</v>
      </c>
      <c r="C215" t="s">
        <v>345</v>
      </c>
      <c r="D215" t="s">
        <v>346</v>
      </c>
      <c r="E215" t="s">
        <v>487</v>
      </c>
      <c r="F215" t="s">
        <v>75</v>
      </c>
      <c r="G215" t="s">
        <v>488</v>
      </c>
      <c r="H215" t="s">
        <v>489</v>
      </c>
      <c r="I215" t="s">
        <v>502</v>
      </c>
      <c r="J215" t="s">
        <v>503</v>
      </c>
      <c r="AG215" t="s">
        <v>819</v>
      </c>
      <c r="AH215" t="s">
        <v>820</v>
      </c>
      <c r="AI215" t="s">
        <v>353</v>
      </c>
      <c r="AJ215" t="s">
        <v>502</v>
      </c>
      <c r="AK215" s="1">
        <v>19101</v>
      </c>
      <c r="AL215" s="1">
        <v>0</v>
      </c>
      <c r="AM215" s="1">
        <v>19101</v>
      </c>
      <c r="AN215" s="1">
        <v>6367</v>
      </c>
      <c r="AO215" s="1">
        <v>0</v>
      </c>
      <c r="AP215" s="1">
        <v>6367</v>
      </c>
      <c r="AQ215" s="1">
        <v>10932</v>
      </c>
      <c r="AR215" s="1">
        <v>0</v>
      </c>
      <c r="AS215" s="1">
        <v>10932</v>
      </c>
      <c r="AT215" s="1">
        <v>0</v>
      </c>
      <c r="BA215" s="195"/>
      <c r="BB215" s="195"/>
      <c r="BC215" s="195"/>
      <c r="BD215" s="195"/>
      <c r="BE215" s="195"/>
      <c r="BF215" s="195"/>
      <c r="BG215" s="195"/>
      <c r="BH215" s="195"/>
      <c r="BI215" s="195"/>
    </row>
    <row r="216" spans="1:61" x14ac:dyDescent="0.25">
      <c r="A216" t="s">
        <v>343</v>
      </c>
      <c r="B216" t="s">
        <v>344</v>
      </c>
      <c r="C216" t="s">
        <v>345</v>
      </c>
      <c r="D216" t="s">
        <v>346</v>
      </c>
      <c r="E216" t="s">
        <v>487</v>
      </c>
      <c r="F216" t="s">
        <v>75</v>
      </c>
      <c r="G216" t="s">
        <v>821</v>
      </c>
      <c r="H216" t="s">
        <v>822</v>
      </c>
      <c r="I216" t="s">
        <v>823</v>
      </c>
      <c r="J216" t="s">
        <v>78</v>
      </c>
      <c r="AG216" t="s">
        <v>824</v>
      </c>
      <c r="AH216" t="s">
        <v>825</v>
      </c>
      <c r="AI216" t="s">
        <v>353</v>
      </c>
      <c r="AJ216" t="s">
        <v>823</v>
      </c>
      <c r="AK216" s="1">
        <v>-4000</v>
      </c>
      <c r="AL216" s="1">
        <v>0</v>
      </c>
      <c r="AM216" s="1">
        <v>-4000</v>
      </c>
      <c r="AN216" s="1">
        <v>0</v>
      </c>
      <c r="AO216" s="1">
        <v>0</v>
      </c>
      <c r="AP216" s="1">
        <v>0</v>
      </c>
      <c r="AQ216" s="1">
        <v>148775.13</v>
      </c>
      <c r="AR216" s="1">
        <v>0</v>
      </c>
      <c r="AS216" s="1">
        <v>148775.13</v>
      </c>
      <c r="AT216" s="1">
        <v>0</v>
      </c>
      <c r="BA216" s="195"/>
      <c r="BB216" s="195"/>
      <c r="BC216" s="195"/>
      <c r="BD216" s="195"/>
      <c r="BE216" s="195"/>
      <c r="BF216" s="195"/>
      <c r="BG216" s="195"/>
      <c r="BH216" s="195"/>
      <c r="BI216" s="195"/>
    </row>
    <row r="217" spans="1:61" x14ac:dyDescent="0.25">
      <c r="A217" t="s">
        <v>343</v>
      </c>
      <c r="B217" t="s">
        <v>344</v>
      </c>
      <c r="C217" t="s">
        <v>345</v>
      </c>
      <c r="D217" t="s">
        <v>346</v>
      </c>
      <c r="E217" t="s">
        <v>487</v>
      </c>
      <c r="F217" t="s">
        <v>75</v>
      </c>
      <c r="G217" t="s">
        <v>821</v>
      </c>
      <c r="H217" t="s">
        <v>822</v>
      </c>
      <c r="I217" t="s">
        <v>823</v>
      </c>
      <c r="J217" t="s">
        <v>78</v>
      </c>
      <c r="AG217" t="s">
        <v>826</v>
      </c>
      <c r="AH217" t="s">
        <v>827</v>
      </c>
      <c r="AI217" t="s">
        <v>353</v>
      </c>
      <c r="AJ217" t="s">
        <v>823</v>
      </c>
      <c r="AK217" s="1">
        <v>162630</v>
      </c>
      <c r="AL217" s="1">
        <v>0</v>
      </c>
      <c r="AM217" s="1">
        <v>162630</v>
      </c>
      <c r="AN217" s="1">
        <v>63315</v>
      </c>
      <c r="AO217" s="1">
        <v>0</v>
      </c>
      <c r="AP217" s="1">
        <v>63315</v>
      </c>
      <c r="AQ217" s="1">
        <v>45952</v>
      </c>
      <c r="AR217" s="1">
        <v>0</v>
      </c>
      <c r="AS217" s="1">
        <v>45952</v>
      </c>
      <c r="AT217" s="1">
        <v>0</v>
      </c>
      <c r="BA217" s="195"/>
      <c r="BB217" s="195"/>
      <c r="BC217" s="195"/>
      <c r="BD217" s="195"/>
      <c r="BE217" s="195"/>
      <c r="BF217" s="195"/>
      <c r="BG217" s="195"/>
      <c r="BH217" s="195"/>
      <c r="BI217" s="195"/>
    </row>
    <row r="218" spans="1:61" x14ac:dyDescent="0.25">
      <c r="A218" t="s">
        <v>343</v>
      </c>
      <c r="B218" t="s">
        <v>344</v>
      </c>
      <c r="C218" t="s">
        <v>345</v>
      </c>
      <c r="D218" t="s">
        <v>346</v>
      </c>
      <c r="E218" t="s">
        <v>487</v>
      </c>
      <c r="F218" t="s">
        <v>75</v>
      </c>
      <c r="G218" t="s">
        <v>821</v>
      </c>
      <c r="H218" t="s">
        <v>822</v>
      </c>
      <c r="I218" t="s">
        <v>828</v>
      </c>
      <c r="J218" t="s">
        <v>79</v>
      </c>
      <c r="AG218" t="s">
        <v>829</v>
      </c>
      <c r="AH218" t="s">
        <v>830</v>
      </c>
      <c r="AI218" t="s">
        <v>353</v>
      </c>
      <c r="AJ218" t="s">
        <v>828</v>
      </c>
      <c r="AK218" s="1">
        <v>944970</v>
      </c>
      <c r="AL218" s="1">
        <v>0</v>
      </c>
      <c r="AM218" s="1">
        <v>944970</v>
      </c>
      <c r="AN218" s="1">
        <v>392485</v>
      </c>
      <c r="AO218" s="1">
        <v>0</v>
      </c>
      <c r="AP218" s="1">
        <v>392485</v>
      </c>
      <c r="AQ218" s="1">
        <v>315463</v>
      </c>
      <c r="AR218" s="1">
        <v>0</v>
      </c>
      <c r="AS218" s="1">
        <v>315463</v>
      </c>
      <c r="AT218" s="1">
        <v>0</v>
      </c>
      <c r="BA218" s="195"/>
      <c r="BB218" s="195"/>
      <c r="BC218" s="195"/>
      <c r="BD218" s="195"/>
      <c r="BE218" s="195"/>
      <c r="BF218" s="195"/>
      <c r="BG218" s="195"/>
      <c r="BH218" s="195"/>
      <c r="BI218" s="195"/>
    </row>
    <row r="219" spans="1:61" x14ac:dyDescent="0.25">
      <c r="A219" t="s">
        <v>343</v>
      </c>
      <c r="B219" t="s">
        <v>344</v>
      </c>
      <c r="C219" t="s">
        <v>345</v>
      </c>
      <c r="D219" t="s">
        <v>346</v>
      </c>
      <c r="E219" t="s">
        <v>487</v>
      </c>
      <c r="F219" t="s">
        <v>75</v>
      </c>
      <c r="G219" t="s">
        <v>831</v>
      </c>
      <c r="H219" t="s">
        <v>832</v>
      </c>
      <c r="I219" t="s">
        <v>833</v>
      </c>
      <c r="J219" t="s">
        <v>834</v>
      </c>
      <c r="AG219" t="s">
        <v>471</v>
      </c>
      <c r="AH219" t="s">
        <v>472</v>
      </c>
      <c r="AI219" t="s">
        <v>353</v>
      </c>
      <c r="AJ219" t="s">
        <v>833</v>
      </c>
      <c r="AK219" s="1">
        <v>394760.18</v>
      </c>
      <c r="AL219" s="1">
        <v>0</v>
      </c>
      <c r="AM219" s="1">
        <v>394760.18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BA219" s="195"/>
      <c r="BB219" s="195"/>
      <c r="BC219" s="195"/>
      <c r="BD219" s="195"/>
      <c r="BE219" s="195"/>
      <c r="BF219" s="195"/>
      <c r="BG219" s="195"/>
      <c r="BH219" s="195"/>
      <c r="BI219" s="195"/>
    </row>
    <row r="220" spans="1:61" x14ac:dyDescent="0.25">
      <c r="A220" t="s">
        <v>343</v>
      </c>
      <c r="B220" t="s">
        <v>344</v>
      </c>
      <c r="C220" t="s">
        <v>345</v>
      </c>
      <c r="D220" t="s">
        <v>346</v>
      </c>
      <c r="E220" t="s">
        <v>487</v>
      </c>
      <c r="F220" t="s">
        <v>75</v>
      </c>
      <c r="G220" t="s">
        <v>831</v>
      </c>
      <c r="H220" t="s">
        <v>832</v>
      </c>
      <c r="I220" t="s">
        <v>833</v>
      </c>
      <c r="J220" t="s">
        <v>834</v>
      </c>
      <c r="AG220" t="s">
        <v>473</v>
      </c>
      <c r="AH220" t="s">
        <v>474</v>
      </c>
      <c r="AI220" t="s">
        <v>353</v>
      </c>
      <c r="AJ220" t="s">
        <v>833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15.09</v>
      </c>
      <c r="AR220" s="1">
        <v>0</v>
      </c>
      <c r="AS220" s="1">
        <v>15.09</v>
      </c>
      <c r="AT220" s="1">
        <v>0</v>
      </c>
      <c r="BA220" s="195"/>
      <c r="BB220" s="195"/>
      <c r="BC220" s="195"/>
      <c r="BD220" s="195"/>
      <c r="BE220" s="195"/>
      <c r="BF220" s="195"/>
      <c r="BG220" s="195"/>
      <c r="BH220" s="195"/>
      <c r="BI220" s="195"/>
    </row>
    <row r="221" spans="1:61" x14ac:dyDescent="0.25">
      <c r="A221" t="s">
        <v>343</v>
      </c>
      <c r="B221" t="s">
        <v>344</v>
      </c>
      <c r="C221" t="s">
        <v>345</v>
      </c>
      <c r="D221" t="s">
        <v>346</v>
      </c>
      <c r="E221" t="s">
        <v>487</v>
      </c>
      <c r="F221" t="s">
        <v>75</v>
      </c>
      <c r="G221" t="s">
        <v>831</v>
      </c>
      <c r="H221" t="s">
        <v>832</v>
      </c>
      <c r="I221" t="s">
        <v>835</v>
      </c>
      <c r="J221" t="s">
        <v>836</v>
      </c>
      <c r="AG221" t="s">
        <v>837</v>
      </c>
      <c r="AH221" t="s">
        <v>838</v>
      </c>
      <c r="AI221" t="s">
        <v>353</v>
      </c>
      <c r="AJ221" t="s">
        <v>835</v>
      </c>
      <c r="AK221" s="1">
        <v>159611.68</v>
      </c>
      <c r="AL221" s="1">
        <v>0</v>
      </c>
      <c r="AM221" s="1">
        <v>159611.68</v>
      </c>
      <c r="AN221" s="1">
        <v>76805.84</v>
      </c>
      <c r="AO221" s="1">
        <v>0</v>
      </c>
      <c r="AP221" s="1">
        <v>76805.84</v>
      </c>
      <c r="AQ221" s="1">
        <v>55949.5</v>
      </c>
      <c r="AR221" s="1">
        <v>0</v>
      </c>
      <c r="AS221" s="1">
        <v>55949.5</v>
      </c>
      <c r="AT221" s="1">
        <v>0</v>
      </c>
      <c r="BA221" s="195"/>
      <c r="BB221" s="195"/>
      <c r="BC221" s="195"/>
      <c r="BD221" s="195"/>
      <c r="BE221" s="195"/>
      <c r="BF221" s="195"/>
      <c r="BG221" s="195"/>
      <c r="BH221" s="195"/>
      <c r="BI221" s="195"/>
    </row>
    <row r="222" spans="1:61" x14ac:dyDescent="0.25">
      <c r="A222" t="s">
        <v>343</v>
      </c>
      <c r="B222" t="s">
        <v>344</v>
      </c>
      <c r="C222" t="s">
        <v>345</v>
      </c>
      <c r="D222" t="s">
        <v>346</v>
      </c>
      <c r="E222" t="s">
        <v>487</v>
      </c>
      <c r="F222" t="s">
        <v>75</v>
      </c>
      <c r="G222" t="s">
        <v>831</v>
      </c>
      <c r="H222" t="s">
        <v>832</v>
      </c>
      <c r="I222" t="s">
        <v>835</v>
      </c>
      <c r="J222" t="s">
        <v>836</v>
      </c>
      <c r="AG222" t="s">
        <v>839</v>
      </c>
      <c r="AH222" t="s">
        <v>840</v>
      </c>
      <c r="AI222" t="s">
        <v>353</v>
      </c>
      <c r="AJ222" t="s">
        <v>835</v>
      </c>
      <c r="AK222" s="1">
        <v>499.24</v>
      </c>
      <c r="AL222" s="1">
        <v>0</v>
      </c>
      <c r="AM222" s="1">
        <v>499.24</v>
      </c>
      <c r="AN222" s="1">
        <v>249.62</v>
      </c>
      <c r="AO222" s="1">
        <v>0</v>
      </c>
      <c r="AP222" s="1">
        <v>249.62</v>
      </c>
      <c r="AQ222" s="1">
        <v>249.62</v>
      </c>
      <c r="AR222" s="1">
        <v>0</v>
      </c>
      <c r="AS222" s="1">
        <v>249.62</v>
      </c>
      <c r="AT222" s="1">
        <v>0</v>
      </c>
      <c r="BA222" s="195"/>
      <c r="BB222" s="195"/>
      <c r="BC222" s="195"/>
      <c r="BD222" s="195"/>
      <c r="BE222" s="195"/>
      <c r="BF222" s="195"/>
      <c r="BG222" s="195"/>
      <c r="BH222" s="195"/>
      <c r="BI222" s="195"/>
    </row>
    <row r="223" spans="1:61" x14ac:dyDescent="0.25">
      <c r="A223" t="s">
        <v>343</v>
      </c>
      <c r="B223" t="s">
        <v>344</v>
      </c>
      <c r="C223" t="s">
        <v>345</v>
      </c>
      <c r="D223" t="s">
        <v>346</v>
      </c>
      <c r="E223" t="s">
        <v>487</v>
      </c>
      <c r="F223" t="s">
        <v>75</v>
      </c>
      <c r="G223" t="s">
        <v>831</v>
      </c>
      <c r="H223" t="s">
        <v>832</v>
      </c>
      <c r="I223" t="s">
        <v>835</v>
      </c>
      <c r="J223" t="s">
        <v>836</v>
      </c>
      <c r="AG223" t="s">
        <v>841</v>
      </c>
      <c r="AH223" t="s">
        <v>840</v>
      </c>
      <c r="AI223" t="s">
        <v>353</v>
      </c>
      <c r="AJ223" t="s">
        <v>835</v>
      </c>
      <c r="AK223" s="1">
        <v>1916.28</v>
      </c>
      <c r="AL223" s="1">
        <v>0</v>
      </c>
      <c r="AM223" s="1">
        <v>1916.28</v>
      </c>
      <c r="AN223" s="1">
        <v>806.94</v>
      </c>
      <c r="AO223" s="1">
        <v>0</v>
      </c>
      <c r="AP223" s="1">
        <v>806.94</v>
      </c>
      <c r="AQ223" s="1">
        <v>655.74</v>
      </c>
      <c r="AR223" s="1">
        <v>0</v>
      </c>
      <c r="AS223" s="1">
        <v>655.74</v>
      </c>
      <c r="AT223" s="1">
        <v>0</v>
      </c>
      <c r="BA223" s="195"/>
      <c r="BB223" s="195"/>
      <c r="BC223" s="195"/>
      <c r="BD223" s="195"/>
      <c r="BE223" s="195"/>
      <c r="BF223" s="195"/>
      <c r="BG223" s="195"/>
      <c r="BH223" s="195"/>
      <c r="BI223" s="195"/>
    </row>
    <row r="224" spans="1:61" x14ac:dyDescent="0.25">
      <c r="A224" t="s">
        <v>343</v>
      </c>
      <c r="B224" t="s">
        <v>344</v>
      </c>
      <c r="C224" t="s">
        <v>345</v>
      </c>
      <c r="D224" t="s">
        <v>346</v>
      </c>
      <c r="E224" t="s">
        <v>487</v>
      </c>
      <c r="F224" t="s">
        <v>75</v>
      </c>
      <c r="G224" t="s">
        <v>831</v>
      </c>
      <c r="H224" t="s">
        <v>832</v>
      </c>
      <c r="I224" t="s">
        <v>835</v>
      </c>
      <c r="J224" t="s">
        <v>836</v>
      </c>
      <c r="AG224" t="s">
        <v>842</v>
      </c>
      <c r="AH224" t="s">
        <v>843</v>
      </c>
      <c r="AI224" t="s">
        <v>353</v>
      </c>
      <c r="AJ224" t="s">
        <v>835</v>
      </c>
      <c r="AK224" s="1">
        <v>1964.2</v>
      </c>
      <c r="AL224" s="1">
        <v>0</v>
      </c>
      <c r="AM224" s="1">
        <v>1964.2</v>
      </c>
      <c r="AN224" s="1">
        <v>982.1</v>
      </c>
      <c r="AO224" s="1">
        <v>0</v>
      </c>
      <c r="AP224" s="1">
        <v>982.1</v>
      </c>
      <c r="AQ224" s="1">
        <v>982.1</v>
      </c>
      <c r="AR224" s="1">
        <v>0</v>
      </c>
      <c r="AS224" s="1">
        <v>982.1</v>
      </c>
      <c r="AT224" s="1">
        <v>0</v>
      </c>
      <c r="BA224" s="195"/>
      <c r="BB224" s="195"/>
      <c r="BC224" s="195"/>
      <c r="BD224" s="195"/>
      <c r="BE224" s="195"/>
      <c r="BF224" s="195"/>
      <c r="BG224" s="195"/>
      <c r="BH224" s="195"/>
      <c r="BI224" s="195"/>
    </row>
    <row r="225" spans="1:61" x14ac:dyDescent="0.25">
      <c r="A225" t="s">
        <v>343</v>
      </c>
      <c r="B225" t="s">
        <v>344</v>
      </c>
      <c r="C225" t="s">
        <v>345</v>
      </c>
      <c r="D225" t="s">
        <v>346</v>
      </c>
      <c r="E225" t="s">
        <v>487</v>
      </c>
      <c r="F225" t="s">
        <v>75</v>
      </c>
      <c r="G225" t="s">
        <v>831</v>
      </c>
      <c r="H225" t="s">
        <v>832</v>
      </c>
      <c r="I225" t="s">
        <v>835</v>
      </c>
      <c r="J225" t="s">
        <v>836</v>
      </c>
      <c r="AG225" t="s">
        <v>844</v>
      </c>
      <c r="AH225" t="s">
        <v>845</v>
      </c>
      <c r="AI225" t="s">
        <v>353</v>
      </c>
      <c r="AJ225" t="s">
        <v>835</v>
      </c>
      <c r="AK225" s="1">
        <v>141862</v>
      </c>
      <c r="AL225" s="1">
        <v>0</v>
      </c>
      <c r="AM225" s="1">
        <v>141862</v>
      </c>
      <c r="AN225" s="1">
        <v>85137</v>
      </c>
      <c r="AO225" s="1">
        <v>0</v>
      </c>
      <c r="AP225" s="1">
        <v>85137</v>
      </c>
      <c r="AQ225" s="1">
        <v>99343</v>
      </c>
      <c r="AR225" s="1">
        <v>0</v>
      </c>
      <c r="AS225" s="1">
        <v>99343</v>
      </c>
      <c r="AT225" s="1">
        <v>0</v>
      </c>
      <c r="BA225" s="195"/>
      <c r="BB225" s="195"/>
      <c r="BC225" s="195"/>
      <c r="BD225" s="195"/>
      <c r="BE225" s="195"/>
      <c r="BF225" s="195"/>
      <c r="BG225" s="195"/>
      <c r="BH225" s="195"/>
      <c r="BI225" s="195"/>
    </row>
    <row r="226" spans="1:61" x14ac:dyDescent="0.25">
      <c r="A226" t="s">
        <v>343</v>
      </c>
      <c r="B226" t="s">
        <v>344</v>
      </c>
      <c r="C226" t="s">
        <v>345</v>
      </c>
      <c r="D226" t="s">
        <v>346</v>
      </c>
      <c r="E226" t="s">
        <v>487</v>
      </c>
      <c r="F226" t="s">
        <v>75</v>
      </c>
      <c r="G226" t="s">
        <v>831</v>
      </c>
      <c r="H226" t="s">
        <v>832</v>
      </c>
      <c r="I226" t="s">
        <v>835</v>
      </c>
      <c r="J226" t="s">
        <v>836</v>
      </c>
      <c r="AG226" t="s">
        <v>450</v>
      </c>
      <c r="AH226" t="s">
        <v>451</v>
      </c>
      <c r="AI226" t="s">
        <v>353</v>
      </c>
      <c r="AJ226" t="s">
        <v>835</v>
      </c>
      <c r="AK226" s="1">
        <v>291900</v>
      </c>
      <c r="AL226" s="1">
        <v>0</v>
      </c>
      <c r="AM226" s="1">
        <v>291900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BA226" s="195"/>
      <c r="BB226" s="195"/>
      <c r="BC226" s="195"/>
      <c r="BD226" s="195"/>
      <c r="BE226" s="195"/>
      <c r="BF226" s="195"/>
      <c r="BG226" s="195"/>
      <c r="BH226" s="195"/>
      <c r="BI226" s="195"/>
    </row>
    <row r="227" spans="1:61" x14ac:dyDescent="0.25">
      <c r="A227" t="s">
        <v>343</v>
      </c>
      <c r="B227" t="s">
        <v>344</v>
      </c>
      <c r="C227" t="s">
        <v>345</v>
      </c>
      <c r="D227" t="s">
        <v>346</v>
      </c>
      <c r="E227" t="s">
        <v>487</v>
      </c>
      <c r="F227" t="s">
        <v>75</v>
      </c>
      <c r="G227" t="s">
        <v>831</v>
      </c>
      <c r="H227" t="s">
        <v>832</v>
      </c>
      <c r="I227" t="s">
        <v>846</v>
      </c>
      <c r="J227" t="s">
        <v>847</v>
      </c>
      <c r="AG227" t="s">
        <v>848</v>
      </c>
      <c r="AH227" t="s">
        <v>849</v>
      </c>
      <c r="AI227" t="s">
        <v>353</v>
      </c>
      <c r="AJ227" t="s">
        <v>846</v>
      </c>
      <c r="AK227" s="1">
        <v>856154.28</v>
      </c>
      <c r="AL227" s="1">
        <v>0</v>
      </c>
      <c r="AM227" s="1">
        <v>856154.28</v>
      </c>
      <c r="AN227" s="1">
        <v>340835.29</v>
      </c>
      <c r="AO227" s="1">
        <v>0</v>
      </c>
      <c r="AP227" s="1">
        <v>340835.29</v>
      </c>
      <c r="AQ227" s="1">
        <v>253593.44</v>
      </c>
      <c r="AR227" s="1">
        <v>0</v>
      </c>
      <c r="AS227" s="1">
        <v>253593.44</v>
      </c>
      <c r="AT227" s="1">
        <v>0</v>
      </c>
      <c r="BA227" s="195"/>
      <c r="BB227" s="195"/>
      <c r="BC227" s="195"/>
      <c r="BD227" s="195"/>
      <c r="BE227" s="195"/>
      <c r="BF227" s="195"/>
      <c r="BG227" s="195"/>
      <c r="BH227" s="195"/>
      <c r="BI227" s="195"/>
    </row>
    <row r="228" spans="1:61" x14ac:dyDescent="0.25">
      <c r="A228" t="s">
        <v>343</v>
      </c>
      <c r="B228" t="s">
        <v>344</v>
      </c>
      <c r="C228" t="s">
        <v>345</v>
      </c>
      <c r="D228" t="s">
        <v>346</v>
      </c>
      <c r="E228" t="s">
        <v>487</v>
      </c>
      <c r="F228" t="s">
        <v>75</v>
      </c>
      <c r="G228" t="s">
        <v>831</v>
      </c>
      <c r="H228" t="s">
        <v>832</v>
      </c>
      <c r="I228" t="s">
        <v>846</v>
      </c>
      <c r="J228" t="s">
        <v>847</v>
      </c>
      <c r="AG228" t="s">
        <v>850</v>
      </c>
      <c r="AH228" t="s">
        <v>851</v>
      </c>
      <c r="AI228" t="s">
        <v>353</v>
      </c>
      <c r="AJ228" t="s">
        <v>846</v>
      </c>
      <c r="AK228" s="1">
        <v>613245.19999999995</v>
      </c>
      <c r="AL228" s="1">
        <v>0</v>
      </c>
      <c r="AM228" s="1">
        <v>613245.19999999995</v>
      </c>
      <c r="AN228" s="1">
        <v>269354.88</v>
      </c>
      <c r="AO228" s="1">
        <v>0</v>
      </c>
      <c r="AP228" s="1">
        <v>269354.88</v>
      </c>
      <c r="AQ228" s="1">
        <v>232087.16</v>
      </c>
      <c r="AR228" s="1">
        <v>0</v>
      </c>
      <c r="AS228" s="1">
        <v>232087.16</v>
      </c>
      <c r="AT228" s="1">
        <v>0</v>
      </c>
      <c r="BA228" s="195"/>
      <c r="BB228" s="195"/>
      <c r="BC228" s="195"/>
      <c r="BD228" s="195"/>
      <c r="BE228" s="195"/>
      <c r="BF228" s="195"/>
      <c r="BG228" s="195"/>
      <c r="BH228" s="195"/>
      <c r="BI228" s="195"/>
    </row>
    <row r="229" spans="1:61" x14ac:dyDescent="0.25">
      <c r="A229" t="s">
        <v>343</v>
      </c>
      <c r="B229" t="s">
        <v>344</v>
      </c>
      <c r="C229" t="s">
        <v>345</v>
      </c>
      <c r="D229" t="s">
        <v>346</v>
      </c>
      <c r="E229" t="s">
        <v>487</v>
      </c>
      <c r="F229" t="s">
        <v>75</v>
      </c>
      <c r="G229" t="s">
        <v>831</v>
      </c>
      <c r="H229" t="s">
        <v>832</v>
      </c>
      <c r="I229" t="s">
        <v>852</v>
      </c>
      <c r="J229" t="s">
        <v>853</v>
      </c>
      <c r="AG229" t="s">
        <v>436</v>
      </c>
      <c r="AH229" t="s">
        <v>437</v>
      </c>
      <c r="AI229" t="s">
        <v>353</v>
      </c>
      <c r="AJ229" t="s">
        <v>852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12488.96</v>
      </c>
      <c r="AR229" s="1">
        <v>0</v>
      </c>
      <c r="AS229" s="1">
        <v>12488.96</v>
      </c>
      <c r="AT229" s="1">
        <v>0</v>
      </c>
      <c r="BA229" s="195"/>
      <c r="BB229" s="195"/>
      <c r="BC229" s="195"/>
      <c r="BD229" s="195"/>
      <c r="BE229" s="195"/>
      <c r="BF229" s="195"/>
      <c r="BG229" s="195"/>
      <c r="BH229" s="195"/>
      <c r="BI229" s="195"/>
    </row>
    <row r="230" spans="1:61" x14ac:dyDescent="0.25">
      <c r="A230" t="s">
        <v>343</v>
      </c>
      <c r="B230" t="s">
        <v>344</v>
      </c>
      <c r="C230" t="s">
        <v>345</v>
      </c>
      <c r="D230" t="s">
        <v>346</v>
      </c>
      <c r="E230" t="s">
        <v>487</v>
      </c>
      <c r="F230" t="s">
        <v>75</v>
      </c>
      <c r="G230" t="s">
        <v>831</v>
      </c>
      <c r="H230" t="s">
        <v>832</v>
      </c>
      <c r="I230" t="s">
        <v>852</v>
      </c>
      <c r="J230" t="s">
        <v>853</v>
      </c>
      <c r="AG230" t="s">
        <v>438</v>
      </c>
      <c r="AH230" t="s">
        <v>439</v>
      </c>
      <c r="AI230" t="s">
        <v>353</v>
      </c>
      <c r="AJ230" t="s">
        <v>852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6187.95</v>
      </c>
      <c r="AR230" s="1">
        <v>0</v>
      </c>
      <c r="AS230" s="1">
        <v>6187.95</v>
      </c>
      <c r="AT230" s="1">
        <v>0</v>
      </c>
      <c r="BA230" s="195"/>
      <c r="BB230" s="195"/>
      <c r="BC230" s="195"/>
      <c r="BD230" s="195"/>
      <c r="BE230" s="195"/>
      <c r="BF230" s="195"/>
      <c r="BG230" s="195"/>
      <c r="BH230" s="195"/>
      <c r="BI230" s="195"/>
    </row>
    <row r="231" spans="1:61" x14ac:dyDescent="0.25">
      <c r="A231" t="s">
        <v>343</v>
      </c>
      <c r="B231" t="s">
        <v>344</v>
      </c>
      <c r="C231" t="s">
        <v>345</v>
      </c>
      <c r="D231" t="s">
        <v>346</v>
      </c>
      <c r="E231" t="s">
        <v>487</v>
      </c>
      <c r="F231" t="s">
        <v>75</v>
      </c>
      <c r="G231" t="s">
        <v>831</v>
      </c>
      <c r="H231" t="s">
        <v>832</v>
      </c>
      <c r="I231" t="s">
        <v>852</v>
      </c>
      <c r="J231" t="s">
        <v>853</v>
      </c>
      <c r="AG231" t="s">
        <v>854</v>
      </c>
      <c r="AH231" t="s">
        <v>693</v>
      </c>
      <c r="AI231" t="s">
        <v>353</v>
      </c>
      <c r="AJ231" t="s">
        <v>852</v>
      </c>
      <c r="AK231" s="1">
        <v>5705.9</v>
      </c>
      <c r="AL231" s="1">
        <v>0</v>
      </c>
      <c r="AM231" s="1">
        <v>5705.9</v>
      </c>
      <c r="AN231" s="1">
        <v>3018</v>
      </c>
      <c r="AO231" s="1">
        <v>0</v>
      </c>
      <c r="AP231" s="1">
        <v>3018</v>
      </c>
      <c r="AQ231" s="1">
        <v>3183.05</v>
      </c>
      <c r="AR231" s="1">
        <v>0</v>
      </c>
      <c r="AS231" s="1">
        <v>3183.05</v>
      </c>
      <c r="AT231" s="1">
        <v>0</v>
      </c>
      <c r="BA231" s="195"/>
      <c r="BB231" s="195"/>
      <c r="BC231" s="195"/>
      <c r="BD231" s="195"/>
      <c r="BE231" s="195"/>
      <c r="BF231" s="195"/>
      <c r="BG231" s="195"/>
      <c r="BH231" s="195"/>
      <c r="BI231" s="195"/>
    </row>
    <row r="232" spans="1:61" x14ac:dyDescent="0.25">
      <c r="A232" t="s">
        <v>343</v>
      </c>
      <c r="B232" t="s">
        <v>344</v>
      </c>
      <c r="C232" t="s">
        <v>345</v>
      </c>
      <c r="D232" t="s">
        <v>346</v>
      </c>
      <c r="E232" t="s">
        <v>487</v>
      </c>
      <c r="F232" t="s">
        <v>75</v>
      </c>
      <c r="G232" t="s">
        <v>831</v>
      </c>
      <c r="H232" t="s">
        <v>832</v>
      </c>
      <c r="I232" t="s">
        <v>852</v>
      </c>
      <c r="J232" t="s">
        <v>853</v>
      </c>
      <c r="AG232" t="s">
        <v>855</v>
      </c>
      <c r="AH232" t="s">
        <v>856</v>
      </c>
      <c r="AI232" t="s">
        <v>353</v>
      </c>
      <c r="AJ232" t="s">
        <v>852</v>
      </c>
      <c r="AK232" s="1">
        <v>655347.43999999994</v>
      </c>
      <c r="AL232" s="1">
        <v>0</v>
      </c>
      <c r="AM232" s="1">
        <v>655347.43999999994</v>
      </c>
      <c r="AN232" s="1">
        <v>327873.71999999997</v>
      </c>
      <c r="AO232" s="1">
        <v>0</v>
      </c>
      <c r="AP232" s="1">
        <v>327873.71999999997</v>
      </c>
      <c r="AQ232" s="1">
        <v>328665.17</v>
      </c>
      <c r="AR232" s="1">
        <v>0</v>
      </c>
      <c r="AS232" s="1">
        <v>328665.17</v>
      </c>
      <c r="AT232" s="1">
        <v>0</v>
      </c>
      <c r="BA232" s="195"/>
      <c r="BB232" s="195"/>
      <c r="BC232" s="195"/>
      <c r="BD232" s="195"/>
      <c r="BE232" s="195"/>
      <c r="BF232" s="195"/>
      <c r="BG232" s="195"/>
      <c r="BH232" s="195"/>
      <c r="BI232" s="195"/>
    </row>
    <row r="233" spans="1:61" x14ac:dyDescent="0.25">
      <c r="A233" t="s">
        <v>343</v>
      </c>
      <c r="B233" t="s">
        <v>344</v>
      </c>
      <c r="C233" t="s">
        <v>345</v>
      </c>
      <c r="D233" t="s">
        <v>346</v>
      </c>
      <c r="E233" t="s">
        <v>487</v>
      </c>
      <c r="F233" t="s">
        <v>75</v>
      </c>
      <c r="G233" t="s">
        <v>831</v>
      </c>
      <c r="H233" t="s">
        <v>832</v>
      </c>
      <c r="I233" t="s">
        <v>852</v>
      </c>
      <c r="J233" t="s">
        <v>853</v>
      </c>
      <c r="AG233" t="s">
        <v>857</v>
      </c>
      <c r="AH233" t="s">
        <v>858</v>
      </c>
      <c r="AI233" t="s">
        <v>353</v>
      </c>
      <c r="AJ233" t="s">
        <v>852</v>
      </c>
      <c r="AK233" s="1">
        <v>6398.08</v>
      </c>
      <c r="AL233" s="1">
        <v>0</v>
      </c>
      <c r="AM233" s="1">
        <v>6398.08</v>
      </c>
      <c r="AN233" s="1">
        <v>3199.04</v>
      </c>
      <c r="AO233" s="1">
        <v>0</v>
      </c>
      <c r="AP233" s="1">
        <v>3199.04</v>
      </c>
      <c r="AQ233" s="1">
        <v>3199.04</v>
      </c>
      <c r="AR233" s="1">
        <v>0</v>
      </c>
      <c r="AS233" s="1">
        <v>3199.04</v>
      </c>
      <c r="AT233" s="1">
        <v>0</v>
      </c>
      <c r="BA233" s="195"/>
      <c r="BB233" s="195"/>
      <c r="BC233" s="195"/>
      <c r="BD233" s="195"/>
      <c r="BE233" s="195"/>
      <c r="BF233" s="195"/>
      <c r="BG233" s="195"/>
      <c r="BH233" s="195"/>
      <c r="BI233" s="195"/>
    </row>
    <row r="234" spans="1:61" x14ac:dyDescent="0.25">
      <c r="A234" t="s">
        <v>343</v>
      </c>
      <c r="B234" t="s">
        <v>344</v>
      </c>
      <c r="C234" t="s">
        <v>345</v>
      </c>
      <c r="D234" t="s">
        <v>346</v>
      </c>
      <c r="E234" t="s">
        <v>487</v>
      </c>
      <c r="F234" t="s">
        <v>75</v>
      </c>
      <c r="G234" t="s">
        <v>831</v>
      </c>
      <c r="H234" t="s">
        <v>832</v>
      </c>
      <c r="I234" t="s">
        <v>852</v>
      </c>
      <c r="J234" t="s">
        <v>853</v>
      </c>
      <c r="AG234" t="s">
        <v>859</v>
      </c>
      <c r="AH234" t="s">
        <v>734</v>
      </c>
      <c r="AI234" t="s">
        <v>353</v>
      </c>
      <c r="AJ234" t="s">
        <v>852</v>
      </c>
      <c r="AK234" s="1">
        <v>506372.96</v>
      </c>
      <c r="AL234" s="1">
        <v>0</v>
      </c>
      <c r="AM234" s="1">
        <v>506372.96</v>
      </c>
      <c r="AN234" s="1">
        <v>243330.14</v>
      </c>
      <c r="AO234" s="1">
        <v>0</v>
      </c>
      <c r="AP234" s="1">
        <v>243330.14</v>
      </c>
      <c r="AQ234" s="1">
        <v>234509.75</v>
      </c>
      <c r="AR234" s="1">
        <v>0</v>
      </c>
      <c r="AS234" s="1">
        <v>234509.75</v>
      </c>
      <c r="AT234" s="1">
        <v>0</v>
      </c>
      <c r="BA234" s="195"/>
      <c r="BB234" s="195"/>
      <c r="BC234" s="195"/>
      <c r="BD234" s="195"/>
      <c r="BE234" s="195"/>
      <c r="BF234" s="195"/>
      <c r="BG234" s="195"/>
      <c r="BH234" s="195"/>
      <c r="BI234" s="195"/>
    </row>
    <row r="235" spans="1:61" x14ac:dyDescent="0.25">
      <c r="A235" t="s">
        <v>343</v>
      </c>
      <c r="B235" t="s">
        <v>344</v>
      </c>
      <c r="C235" t="s">
        <v>345</v>
      </c>
      <c r="D235" t="s">
        <v>346</v>
      </c>
      <c r="E235" t="s">
        <v>487</v>
      </c>
      <c r="F235" t="s">
        <v>75</v>
      </c>
      <c r="G235" t="s">
        <v>831</v>
      </c>
      <c r="H235" t="s">
        <v>832</v>
      </c>
      <c r="I235" t="s">
        <v>852</v>
      </c>
      <c r="J235" t="s">
        <v>853</v>
      </c>
      <c r="AG235" t="s">
        <v>860</v>
      </c>
      <c r="AH235" t="s">
        <v>861</v>
      </c>
      <c r="AI235" t="s">
        <v>353</v>
      </c>
      <c r="AJ235" t="s">
        <v>852</v>
      </c>
      <c r="AK235" s="1">
        <v>604638.56000000006</v>
      </c>
      <c r="AL235" s="1">
        <v>0</v>
      </c>
      <c r="AM235" s="1">
        <v>604638.56000000006</v>
      </c>
      <c r="AN235" s="1">
        <v>293783.28000000003</v>
      </c>
      <c r="AO235" s="1">
        <v>0</v>
      </c>
      <c r="AP235" s="1">
        <v>293783.28000000003</v>
      </c>
      <c r="AQ235" s="1">
        <v>241230.02</v>
      </c>
      <c r="AR235" s="1">
        <v>0</v>
      </c>
      <c r="AS235" s="1">
        <v>241230.02</v>
      </c>
      <c r="AT235" s="1">
        <v>0</v>
      </c>
      <c r="BA235" s="195"/>
      <c r="BB235" s="195"/>
      <c r="BC235" s="195"/>
      <c r="BD235" s="195"/>
      <c r="BE235" s="195"/>
      <c r="BF235" s="195"/>
      <c r="BG235" s="195"/>
      <c r="BH235" s="195"/>
      <c r="BI235" s="195"/>
    </row>
    <row r="236" spans="1:61" x14ac:dyDescent="0.25">
      <c r="A236" t="s">
        <v>343</v>
      </c>
      <c r="B236" t="s">
        <v>344</v>
      </c>
      <c r="C236" t="s">
        <v>345</v>
      </c>
      <c r="D236" t="s">
        <v>346</v>
      </c>
      <c r="E236" t="s">
        <v>487</v>
      </c>
      <c r="F236" t="s">
        <v>75</v>
      </c>
      <c r="G236" t="s">
        <v>831</v>
      </c>
      <c r="H236" t="s">
        <v>832</v>
      </c>
      <c r="I236" t="s">
        <v>852</v>
      </c>
      <c r="J236" t="s">
        <v>853</v>
      </c>
      <c r="AG236" t="s">
        <v>862</v>
      </c>
      <c r="AH236" t="s">
        <v>863</v>
      </c>
      <c r="AI236" t="s">
        <v>353</v>
      </c>
      <c r="AJ236" t="s">
        <v>852</v>
      </c>
      <c r="AK236" s="1">
        <v>106758</v>
      </c>
      <c r="AL236" s="1">
        <v>0</v>
      </c>
      <c r="AM236" s="1">
        <v>106758</v>
      </c>
      <c r="AN236" s="1">
        <v>55302</v>
      </c>
      <c r="AO236" s="1">
        <v>0</v>
      </c>
      <c r="AP236" s="1">
        <v>55302</v>
      </c>
      <c r="AQ236" s="1">
        <v>57225</v>
      </c>
      <c r="AR236" s="1">
        <v>0</v>
      </c>
      <c r="AS236" s="1">
        <v>57225</v>
      </c>
      <c r="AT236" s="1">
        <v>0</v>
      </c>
      <c r="BA236" s="195"/>
      <c r="BB236" s="195"/>
      <c r="BC236" s="195"/>
      <c r="BD236" s="195"/>
      <c r="BE236" s="195"/>
      <c r="BF236" s="195"/>
      <c r="BG236" s="195"/>
      <c r="BH236" s="195"/>
      <c r="BI236" s="195"/>
    </row>
    <row r="237" spans="1:61" x14ac:dyDescent="0.25">
      <c r="A237" t="s">
        <v>343</v>
      </c>
      <c r="B237" t="s">
        <v>344</v>
      </c>
      <c r="C237" t="s">
        <v>345</v>
      </c>
      <c r="D237" t="s">
        <v>346</v>
      </c>
      <c r="E237" t="s">
        <v>487</v>
      </c>
      <c r="F237" t="s">
        <v>75</v>
      </c>
      <c r="G237" t="s">
        <v>831</v>
      </c>
      <c r="H237" t="s">
        <v>832</v>
      </c>
      <c r="I237" t="s">
        <v>852</v>
      </c>
      <c r="J237" t="s">
        <v>853</v>
      </c>
      <c r="AG237" t="s">
        <v>864</v>
      </c>
      <c r="AH237" t="s">
        <v>865</v>
      </c>
      <c r="AI237" t="s">
        <v>353</v>
      </c>
      <c r="AJ237" t="s">
        <v>852</v>
      </c>
      <c r="AK237" s="1">
        <v>95972</v>
      </c>
      <c r="AL237" s="1">
        <v>0</v>
      </c>
      <c r="AM237" s="1">
        <v>95972</v>
      </c>
      <c r="AN237" s="1">
        <v>52829</v>
      </c>
      <c r="AO237" s="1">
        <v>0</v>
      </c>
      <c r="AP237" s="1">
        <v>52829</v>
      </c>
      <c r="AQ237" s="1">
        <v>57672</v>
      </c>
      <c r="AR237" s="1">
        <v>0</v>
      </c>
      <c r="AS237" s="1">
        <v>57672</v>
      </c>
      <c r="AT237" s="1">
        <v>0</v>
      </c>
      <c r="BA237" s="195"/>
      <c r="BB237" s="195"/>
      <c r="BC237" s="195"/>
      <c r="BD237" s="195"/>
      <c r="BE237" s="195"/>
      <c r="BF237" s="195"/>
      <c r="BG237" s="195"/>
      <c r="BH237" s="195"/>
      <c r="BI237" s="195"/>
    </row>
    <row r="238" spans="1:61" x14ac:dyDescent="0.25">
      <c r="A238" t="s">
        <v>343</v>
      </c>
      <c r="B238" t="s">
        <v>344</v>
      </c>
      <c r="C238" t="s">
        <v>345</v>
      </c>
      <c r="D238" t="s">
        <v>346</v>
      </c>
      <c r="E238" t="s">
        <v>487</v>
      </c>
      <c r="F238" t="s">
        <v>75</v>
      </c>
      <c r="G238" t="s">
        <v>831</v>
      </c>
      <c r="H238" t="s">
        <v>832</v>
      </c>
      <c r="I238" t="s">
        <v>852</v>
      </c>
      <c r="J238" t="s">
        <v>853</v>
      </c>
      <c r="AG238" t="s">
        <v>866</v>
      </c>
      <c r="AH238" t="s">
        <v>867</v>
      </c>
      <c r="AI238" t="s">
        <v>353</v>
      </c>
      <c r="AJ238" t="s">
        <v>852</v>
      </c>
      <c r="AK238" s="1">
        <v>155729.64000000001</v>
      </c>
      <c r="AL238" s="1">
        <v>0</v>
      </c>
      <c r="AM238" s="1">
        <v>155729.64000000001</v>
      </c>
      <c r="AN238" s="1">
        <v>63018.25</v>
      </c>
      <c r="AO238" s="1">
        <v>0</v>
      </c>
      <c r="AP238" s="1">
        <v>63018.25</v>
      </c>
      <c r="AQ238" s="1">
        <v>48171.68</v>
      </c>
      <c r="AR238" s="1">
        <v>0</v>
      </c>
      <c r="AS238" s="1">
        <v>48171.68</v>
      </c>
      <c r="AT238" s="1">
        <v>0</v>
      </c>
      <c r="BA238" s="195"/>
      <c r="BB238" s="195"/>
      <c r="BC238" s="195"/>
      <c r="BD238" s="195"/>
      <c r="BE238" s="195"/>
      <c r="BF238" s="195"/>
      <c r="BG238" s="195"/>
      <c r="BH238" s="195"/>
      <c r="BI238" s="195"/>
    </row>
    <row r="239" spans="1:61" x14ac:dyDescent="0.25">
      <c r="A239" t="s">
        <v>343</v>
      </c>
      <c r="B239" t="s">
        <v>344</v>
      </c>
      <c r="C239" t="s">
        <v>345</v>
      </c>
      <c r="D239" t="s">
        <v>346</v>
      </c>
      <c r="E239" t="s">
        <v>487</v>
      </c>
      <c r="F239" t="s">
        <v>75</v>
      </c>
      <c r="G239" t="s">
        <v>831</v>
      </c>
      <c r="H239" t="s">
        <v>832</v>
      </c>
      <c r="I239" t="s">
        <v>852</v>
      </c>
      <c r="J239" t="s">
        <v>853</v>
      </c>
      <c r="AG239" t="s">
        <v>868</v>
      </c>
      <c r="AH239" t="s">
        <v>869</v>
      </c>
      <c r="AI239" t="s">
        <v>353</v>
      </c>
      <c r="AJ239" t="s">
        <v>852</v>
      </c>
      <c r="AK239" s="1">
        <v>26215.64</v>
      </c>
      <c r="AL239" s="1">
        <v>0</v>
      </c>
      <c r="AM239" s="1">
        <v>26215.64</v>
      </c>
      <c r="AN239" s="1">
        <v>35028.57</v>
      </c>
      <c r="AO239" s="1">
        <v>0</v>
      </c>
      <c r="AP239" s="1">
        <v>35028.57</v>
      </c>
      <c r="AQ239" s="1">
        <v>56949.32</v>
      </c>
      <c r="AR239" s="1">
        <v>0</v>
      </c>
      <c r="AS239" s="1">
        <v>56949.32</v>
      </c>
      <c r="AT239" s="1">
        <v>0</v>
      </c>
      <c r="BA239" s="195"/>
      <c r="BB239" s="195"/>
      <c r="BC239" s="195"/>
      <c r="BD239" s="195"/>
      <c r="BE239" s="195"/>
      <c r="BF239" s="195"/>
      <c r="BG239" s="195"/>
      <c r="BH239" s="195"/>
      <c r="BI239" s="195"/>
    </row>
    <row r="240" spans="1:61" x14ac:dyDescent="0.25">
      <c r="A240" t="s">
        <v>343</v>
      </c>
      <c r="B240" t="s">
        <v>344</v>
      </c>
      <c r="C240" t="s">
        <v>345</v>
      </c>
      <c r="D240" t="s">
        <v>346</v>
      </c>
      <c r="E240" t="s">
        <v>487</v>
      </c>
      <c r="F240" t="s">
        <v>75</v>
      </c>
      <c r="G240" t="s">
        <v>831</v>
      </c>
      <c r="H240" t="s">
        <v>832</v>
      </c>
      <c r="I240" t="s">
        <v>852</v>
      </c>
      <c r="J240" t="s">
        <v>853</v>
      </c>
      <c r="AG240" t="s">
        <v>870</v>
      </c>
      <c r="AH240" t="s">
        <v>871</v>
      </c>
      <c r="AI240" t="s">
        <v>353</v>
      </c>
      <c r="AJ240" t="s">
        <v>852</v>
      </c>
      <c r="AK240" s="1">
        <v>20306.919999999998</v>
      </c>
      <c r="AL240" s="1">
        <v>0</v>
      </c>
      <c r="AM240" s="1">
        <v>20306.919999999998</v>
      </c>
      <c r="AN240" s="1">
        <v>10734.04</v>
      </c>
      <c r="AO240" s="1">
        <v>0</v>
      </c>
      <c r="AP240" s="1">
        <v>10734.04</v>
      </c>
      <c r="AQ240" s="1">
        <v>11314.62</v>
      </c>
      <c r="AR240" s="1">
        <v>0</v>
      </c>
      <c r="AS240" s="1">
        <v>11314.62</v>
      </c>
      <c r="AT240" s="1">
        <v>0</v>
      </c>
      <c r="BA240" s="195"/>
      <c r="BB240" s="195"/>
      <c r="BC240" s="195"/>
      <c r="BD240" s="195"/>
      <c r="BE240" s="195"/>
      <c r="BF240" s="195"/>
      <c r="BG240" s="195"/>
      <c r="BH240" s="195"/>
      <c r="BI240" s="195"/>
    </row>
    <row r="241" spans="1:61" x14ac:dyDescent="0.25">
      <c r="A241" t="s">
        <v>343</v>
      </c>
      <c r="B241" t="s">
        <v>344</v>
      </c>
      <c r="C241" t="s">
        <v>345</v>
      </c>
      <c r="D241" t="s">
        <v>346</v>
      </c>
      <c r="E241" t="s">
        <v>487</v>
      </c>
      <c r="F241" t="s">
        <v>75</v>
      </c>
      <c r="G241" t="s">
        <v>831</v>
      </c>
      <c r="H241" t="s">
        <v>832</v>
      </c>
      <c r="I241" t="s">
        <v>852</v>
      </c>
      <c r="J241" t="s">
        <v>853</v>
      </c>
      <c r="AG241" t="s">
        <v>872</v>
      </c>
      <c r="AH241" t="s">
        <v>873</v>
      </c>
      <c r="AI241" t="s">
        <v>353</v>
      </c>
      <c r="AJ241" t="s">
        <v>852</v>
      </c>
      <c r="AK241" s="1">
        <v>14471.16</v>
      </c>
      <c r="AL241" s="1">
        <v>0</v>
      </c>
      <c r="AM241" s="1">
        <v>14471.16</v>
      </c>
      <c r="AN241" s="1">
        <v>6813.85</v>
      </c>
      <c r="AO241" s="1">
        <v>0</v>
      </c>
      <c r="AP241" s="1">
        <v>6813.85</v>
      </c>
      <c r="AQ241" s="1">
        <v>6392.12</v>
      </c>
      <c r="AR241" s="1">
        <v>0</v>
      </c>
      <c r="AS241" s="1">
        <v>6392.12</v>
      </c>
      <c r="AT241" s="1">
        <v>0</v>
      </c>
      <c r="BA241" s="195"/>
      <c r="BB241" s="195"/>
      <c r="BC241" s="195"/>
      <c r="BD241" s="195"/>
      <c r="BE241" s="195"/>
      <c r="BF241" s="195"/>
      <c r="BG241" s="195"/>
      <c r="BH241" s="195"/>
      <c r="BI241" s="195"/>
    </row>
    <row r="242" spans="1:61" x14ac:dyDescent="0.25">
      <c r="A242" t="s">
        <v>343</v>
      </c>
      <c r="B242" t="s">
        <v>344</v>
      </c>
      <c r="C242" t="s">
        <v>345</v>
      </c>
      <c r="D242" t="s">
        <v>346</v>
      </c>
      <c r="E242" t="s">
        <v>487</v>
      </c>
      <c r="F242" t="s">
        <v>75</v>
      </c>
      <c r="G242" t="s">
        <v>831</v>
      </c>
      <c r="H242" t="s">
        <v>832</v>
      </c>
      <c r="I242" t="s">
        <v>852</v>
      </c>
      <c r="J242" t="s">
        <v>853</v>
      </c>
      <c r="AG242" t="s">
        <v>874</v>
      </c>
      <c r="AH242" t="s">
        <v>875</v>
      </c>
      <c r="AI242" t="s">
        <v>353</v>
      </c>
      <c r="AJ242" t="s">
        <v>852</v>
      </c>
      <c r="AK242" s="1">
        <v>32094</v>
      </c>
      <c r="AL242" s="1">
        <v>0</v>
      </c>
      <c r="AM242" s="1">
        <v>32094</v>
      </c>
      <c r="AN242" s="1">
        <v>17482</v>
      </c>
      <c r="AO242" s="1">
        <v>0</v>
      </c>
      <c r="AP242" s="1">
        <v>17482</v>
      </c>
      <c r="AQ242" s="1">
        <v>18917</v>
      </c>
      <c r="AR242" s="1">
        <v>0</v>
      </c>
      <c r="AS242" s="1">
        <v>18917</v>
      </c>
      <c r="AT242" s="1">
        <v>0</v>
      </c>
      <c r="BA242" s="195"/>
      <c r="BB242" s="195"/>
      <c r="BC242" s="195"/>
      <c r="BD242" s="195"/>
      <c r="BE242" s="195"/>
      <c r="BF242" s="195"/>
      <c r="BG242" s="195"/>
      <c r="BH242" s="195"/>
      <c r="BI242" s="195"/>
    </row>
    <row r="243" spans="1:61" x14ac:dyDescent="0.25">
      <c r="A243" t="s">
        <v>343</v>
      </c>
      <c r="B243" t="s">
        <v>344</v>
      </c>
      <c r="C243" t="s">
        <v>345</v>
      </c>
      <c r="D243" t="s">
        <v>346</v>
      </c>
      <c r="E243" t="s">
        <v>487</v>
      </c>
      <c r="F243" t="s">
        <v>75</v>
      </c>
      <c r="G243" t="s">
        <v>831</v>
      </c>
      <c r="H243" t="s">
        <v>832</v>
      </c>
      <c r="I243" t="s">
        <v>852</v>
      </c>
      <c r="J243" t="s">
        <v>853</v>
      </c>
      <c r="AG243" t="s">
        <v>876</v>
      </c>
      <c r="AH243" t="s">
        <v>877</v>
      </c>
      <c r="AI243" t="s">
        <v>353</v>
      </c>
      <c r="AJ243" t="s">
        <v>852</v>
      </c>
      <c r="AK243" s="1">
        <v>287832.36</v>
      </c>
      <c r="AL243" s="1">
        <v>0</v>
      </c>
      <c r="AM243" s="1">
        <v>287832.36</v>
      </c>
      <c r="AN243" s="1">
        <v>144264.43</v>
      </c>
      <c r="AO243" s="1">
        <v>0</v>
      </c>
      <c r="AP243" s="1">
        <v>144264.43</v>
      </c>
      <c r="AQ243" s="1">
        <v>144612.68</v>
      </c>
      <c r="AR243" s="1">
        <v>0</v>
      </c>
      <c r="AS243" s="1">
        <v>144612.68</v>
      </c>
      <c r="AT243" s="1">
        <v>0</v>
      </c>
      <c r="BA243" s="195"/>
      <c r="BB243" s="195"/>
      <c r="BC243" s="195"/>
      <c r="BD243" s="195"/>
      <c r="BE243" s="195"/>
      <c r="BF243" s="195"/>
      <c r="BG243" s="195"/>
      <c r="BH243" s="195"/>
      <c r="BI243" s="195"/>
    </row>
    <row r="244" spans="1:61" x14ac:dyDescent="0.25">
      <c r="A244" t="s">
        <v>343</v>
      </c>
      <c r="B244" t="s">
        <v>344</v>
      </c>
      <c r="C244" t="s">
        <v>345</v>
      </c>
      <c r="D244" t="s">
        <v>346</v>
      </c>
      <c r="E244" t="s">
        <v>487</v>
      </c>
      <c r="F244" t="s">
        <v>75</v>
      </c>
      <c r="G244" t="s">
        <v>831</v>
      </c>
      <c r="H244" t="s">
        <v>832</v>
      </c>
      <c r="I244" t="s">
        <v>852</v>
      </c>
      <c r="J244" t="s">
        <v>853</v>
      </c>
      <c r="AG244" t="s">
        <v>878</v>
      </c>
      <c r="AH244" t="s">
        <v>879</v>
      </c>
      <c r="AI244" t="s">
        <v>353</v>
      </c>
      <c r="AJ244" t="s">
        <v>852</v>
      </c>
      <c r="AK244" s="1">
        <v>321213.71999999997</v>
      </c>
      <c r="AL244" s="1">
        <v>0</v>
      </c>
      <c r="AM244" s="1">
        <v>321213.71999999997</v>
      </c>
      <c r="AN244" s="1">
        <v>129265.78</v>
      </c>
      <c r="AO244" s="1">
        <v>0</v>
      </c>
      <c r="AP244" s="1">
        <v>129265.78</v>
      </c>
      <c r="AQ244" s="1">
        <v>97924.7</v>
      </c>
      <c r="AR244" s="1">
        <v>0</v>
      </c>
      <c r="AS244" s="1">
        <v>97924.7</v>
      </c>
      <c r="AT244" s="1">
        <v>0</v>
      </c>
      <c r="BA244" s="195"/>
      <c r="BB244" s="195"/>
      <c r="BC244" s="195"/>
      <c r="BD244" s="195"/>
      <c r="BE244" s="195"/>
      <c r="BF244" s="195"/>
      <c r="BG244" s="195"/>
      <c r="BH244" s="195"/>
      <c r="BI244" s="195"/>
    </row>
    <row r="245" spans="1:61" x14ac:dyDescent="0.25">
      <c r="A245" t="s">
        <v>343</v>
      </c>
      <c r="B245" t="s">
        <v>344</v>
      </c>
      <c r="C245" t="s">
        <v>345</v>
      </c>
      <c r="D245" t="s">
        <v>346</v>
      </c>
      <c r="E245" t="s">
        <v>487</v>
      </c>
      <c r="F245" t="s">
        <v>75</v>
      </c>
      <c r="G245" t="s">
        <v>831</v>
      </c>
      <c r="H245" t="s">
        <v>832</v>
      </c>
      <c r="I245" t="s">
        <v>852</v>
      </c>
      <c r="J245" t="s">
        <v>853</v>
      </c>
      <c r="AG245" t="s">
        <v>880</v>
      </c>
      <c r="AH245" t="s">
        <v>881</v>
      </c>
      <c r="AI245" t="s">
        <v>353</v>
      </c>
      <c r="AJ245" t="s">
        <v>852</v>
      </c>
      <c r="AK245" s="1">
        <v>20038.14</v>
      </c>
      <c r="AL245" s="1">
        <v>0</v>
      </c>
      <c r="AM245" s="1">
        <v>20038.14</v>
      </c>
      <c r="AN245" s="1">
        <v>6819.15</v>
      </c>
      <c r="AO245" s="1">
        <v>0</v>
      </c>
      <c r="AP245" s="1">
        <v>6819.15</v>
      </c>
      <c r="AQ245" s="1">
        <v>3619.23</v>
      </c>
      <c r="AR245" s="1">
        <v>0</v>
      </c>
      <c r="AS245" s="1">
        <v>3619.23</v>
      </c>
      <c r="AT245" s="1">
        <v>0</v>
      </c>
      <c r="BA245" s="195"/>
      <c r="BB245" s="195"/>
      <c r="BC245" s="195"/>
      <c r="BD245" s="195"/>
      <c r="BE245" s="195"/>
      <c r="BF245" s="195"/>
      <c r="BG245" s="195"/>
      <c r="BH245" s="195"/>
      <c r="BI245" s="195"/>
    </row>
    <row r="246" spans="1:61" x14ac:dyDescent="0.25">
      <c r="A246" t="s">
        <v>343</v>
      </c>
      <c r="B246" t="s">
        <v>344</v>
      </c>
      <c r="C246" t="s">
        <v>345</v>
      </c>
      <c r="D246" t="s">
        <v>346</v>
      </c>
      <c r="E246" t="s">
        <v>487</v>
      </c>
      <c r="F246" t="s">
        <v>75</v>
      </c>
      <c r="G246" t="s">
        <v>831</v>
      </c>
      <c r="H246" t="s">
        <v>832</v>
      </c>
      <c r="I246" t="s">
        <v>852</v>
      </c>
      <c r="J246" t="s">
        <v>853</v>
      </c>
      <c r="AG246" t="s">
        <v>882</v>
      </c>
      <c r="AH246" t="s">
        <v>883</v>
      </c>
      <c r="AI246" t="s">
        <v>353</v>
      </c>
      <c r="AJ246" t="s">
        <v>852</v>
      </c>
      <c r="AK246" s="1">
        <v>61316.6</v>
      </c>
      <c r="AL246" s="1">
        <v>0</v>
      </c>
      <c r="AM246" s="1">
        <v>61316.6</v>
      </c>
      <c r="AN246" s="1">
        <v>28810.91</v>
      </c>
      <c r="AO246" s="1">
        <v>0</v>
      </c>
      <c r="AP246" s="1">
        <v>28810.91</v>
      </c>
      <c r="AQ246" s="1">
        <v>26963.52</v>
      </c>
      <c r="AR246" s="1">
        <v>0</v>
      </c>
      <c r="AS246" s="1">
        <v>26963.52</v>
      </c>
      <c r="AT246" s="1">
        <v>0</v>
      </c>
      <c r="BA246" s="195"/>
      <c r="BB246" s="195"/>
      <c r="BC246" s="195"/>
      <c r="BD246" s="195"/>
      <c r="BE246" s="195"/>
      <c r="BF246" s="195"/>
      <c r="BG246" s="195"/>
      <c r="BH246" s="195"/>
      <c r="BI246" s="195"/>
    </row>
    <row r="247" spans="1:61" x14ac:dyDescent="0.25">
      <c r="A247" t="s">
        <v>343</v>
      </c>
      <c r="B247" t="s">
        <v>344</v>
      </c>
      <c r="C247" t="s">
        <v>345</v>
      </c>
      <c r="D247" t="s">
        <v>346</v>
      </c>
      <c r="E247" t="s">
        <v>487</v>
      </c>
      <c r="F247" t="s">
        <v>75</v>
      </c>
      <c r="G247" t="s">
        <v>831</v>
      </c>
      <c r="H247" t="s">
        <v>832</v>
      </c>
      <c r="I247" t="s">
        <v>852</v>
      </c>
      <c r="J247" t="s">
        <v>853</v>
      </c>
      <c r="AG247" t="s">
        <v>884</v>
      </c>
      <c r="AH247" t="s">
        <v>885</v>
      </c>
      <c r="AI247" t="s">
        <v>353</v>
      </c>
      <c r="AJ247" t="s">
        <v>852</v>
      </c>
      <c r="AK247" s="1">
        <v>28799.26</v>
      </c>
      <c r="AL247" s="1">
        <v>0</v>
      </c>
      <c r="AM247" s="1">
        <v>28799.26</v>
      </c>
      <c r="AN247" s="1">
        <v>15343.09</v>
      </c>
      <c r="AO247" s="1">
        <v>0</v>
      </c>
      <c r="AP247" s="1">
        <v>15343.09</v>
      </c>
      <c r="AQ247" s="1">
        <v>16286.55</v>
      </c>
      <c r="AR247" s="1">
        <v>0</v>
      </c>
      <c r="AS247" s="1">
        <v>16286.55</v>
      </c>
      <c r="AT247" s="1">
        <v>0</v>
      </c>
      <c r="BA247" s="195"/>
      <c r="BB247" s="195"/>
      <c r="BC247" s="195"/>
      <c r="BD247" s="195"/>
      <c r="BE247" s="195"/>
      <c r="BF247" s="195"/>
      <c r="BG247" s="195"/>
      <c r="BH247" s="195"/>
      <c r="BI247" s="195"/>
    </row>
    <row r="248" spans="1:61" x14ac:dyDescent="0.25">
      <c r="A248" t="s">
        <v>343</v>
      </c>
      <c r="B248" t="s">
        <v>344</v>
      </c>
      <c r="C248" t="s">
        <v>345</v>
      </c>
      <c r="D248" t="s">
        <v>346</v>
      </c>
      <c r="E248" t="s">
        <v>487</v>
      </c>
      <c r="F248" t="s">
        <v>75</v>
      </c>
      <c r="G248" t="s">
        <v>831</v>
      </c>
      <c r="H248" t="s">
        <v>832</v>
      </c>
      <c r="I248" t="s">
        <v>852</v>
      </c>
      <c r="J248" t="s">
        <v>853</v>
      </c>
      <c r="AG248" t="s">
        <v>886</v>
      </c>
      <c r="AH248" t="s">
        <v>646</v>
      </c>
      <c r="AI248" t="s">
        <v>353</v>
      </c>
      <c r="AJ248" t="s">
        <v>852</v>
      </c>
      <c r="AK248" s="1">
        <v>44021.14</v>
      </c>
      <c r="AL248" s="1">
        <v>0</v>
      </c>
      <c r="AM248" s="1">
        <v>44021.14</v>
      </c>
      <c r="AN248" s="1">
        <v>21139.37</v>
      </c>
      <c r="AO248" s="1">
        <v>0</v>
      </c>
      <c r="AP248" s="1">
        <v>21139.37</v>
      </c>
      <c r="AQ248" s="1">
        <v>20268.169999999998</v>
      </c>
      <c r="AR248" s="1">
        <v>0</v>
      </c>
      <c r="AS248" s="1">
        <v>20268.169999999998</v>
      </c>
      <c r="AT248" s="1">
        <v>0</v>
      </c>
      <c r="BA248" s="195"/>
      <c r="BB248" s="195"/>
      <c r="BC248" s="195"/>
      <c r="BD248" s="195"/>
      <c r="BE248" s="195"/>
      <c r="BF248" s="195"/>
      <c r="BG248" s="195"/>
      <c r="BH248" s="195"/>
      <c r="BI248" s="195"/>
    </row>
    <row r="249" spans="1:61" x14ac:dyDescent="0.25">
      <c r="A249" t="s">
        <v>343</v>
      </c>
      <c r="B249" t="s">
        <v>344</v>
      </c>
      <c r="C249" t="s">
        <v>345</v>
      </c>
      <c r="D249" t="s">
        <v>346</v>
      </c>
      <c r="E249" t="s">
        <v>487</v>
      </c>
      <c r="F249" t="s">
        <v>75</v>
      </c>
      <c r="G249" t="s">
        <v>831</v>
      </c>
      <c r="H249" t="s">
        <v>832</v>
      </c>
      <c r="I249" t="s">
        <v>852</v>
      </c>
      <c r="J249" t="s">
        <v>853</v>
      </c>
      <c r="AG249" t="s">
        <v>887</v>
      </c>
      <c r="AH249" t="s">
        <v>659</v>
      </c>
      <c r="AI249" t="s">
        <v>353</v>
      </c>
      <c r="AJ249" t="s">
        <v>852</v>
      </c>
      <c r="AK249" s="1">
        <v>25170</v>
      </c>
      <c r="AL249" s="1">
        <v>0</v>
      </c>
      <c r="AM249" s="1">
        <v>25170</v>
      </c>
      <c r="AN249" s="1">
        <v>11415</v>
      </c>
      <c r="AO249" s="1">
        <v>0</v>
      </c>
      <c r="AP249" s="1">
        <v>11415</v>
      </c>
      <c r="AQ249" s="1">
        <v>10245</v>
      </c>
      <c r="AR249" s="1">
        <v>0</v>
      </c>
      <c r="AS249" s="1">
        <v>10245</v>
      </c>
      <c r="AT249" s="1">
        <v>0</v>
      </c>
      <c r="BA249" s="195"/>
      <c r="BB249" s="195"/>
      <c r="BC249" s="195"/>
      <c r="BD249" s="195"/>
      <c r="BE249" s="195"/>
      <c r="BF249" s="195"/>
      <c r="BG249" s="195"/>
      <c r="BH249" s="195"/>
      <c r="BI249" s="195"/>
    </row>
    <row r="250" spans="1:61" x14ac:dyDescent="0.25">
      <c r="A250" t="s">
        <v>343</v>
      </c>
      <c r="B250" t="s">
        <v>344</v>
      </c>
      <c r="C250" t="s">
        <v>345</v>
      </c>
      <c r="D250" t="s">
        <v>346</v>
      </c>
      <c r="E250" t="s">
        <v>487</v>
      </c>
      <c r="F250" t="s">
        <v>75</v>
      </c>
      <c r="G250" t="s">
        <v>831</v>
      </c>
      <c r="H250" t="s">
        <v>832</v>
      </c>
      <c r="I250" t="s">
        <v>852</v>
      </c>
      <c r="J250" t="s">
        <v>853</v>
      </c>
      <c r="AG250" t="s">
        <v>888</v>
      </c>
      <c r="AH250" t="s">
        <v>889</v>
      </c>
      <c r="AI250" t="s">
        <v>353</v>
      </c>
      <c r="AJ250" t="s">
        <v>852</v>
      </c>
      <c r="AK250" s="1">
        <v>22824</v>
      </c>
      <c r="AL250" s="1">
        <v>0</v>
      </c>
      <c r="AM250" s="1">
        <v>22824</v>
      </c>
      <c r="AN250" s="1">
        <v>15412</v>
      </c>
      <c r="AO250" s="1">
        <v>0</v>
      </c>
      <c r="AP250" s="1">
        <v>15412</v>
      </c>
      <c r="AQ250" s="1">
        <v>16737</v>
      </c>
      <c r="AR250" s="1">
        <v>0</v>
      </c>
      <c r="AS250" s="1">
        <v>16737</v>
      </c>
      <c r="AT250" s="1">
        <v>0</v>
      </c>
      <c r="BA250" s="195"/>
      <c r="BB250" s="195"/>
      <c r="BC250" s="195"/>
      <c r="BD250" s="195"/>
      <c r="BE250" s="195"/>
      <c r="BF250" s="195"/>
      <c r="BG250" s="195"/>
      <c r="BH250" s="195"/>
      <c r="BI250" s="195"/>
    </row>
    <row r="251" spans="1:61" x14ac:dyDescent="0.25">
      <c r="A251" t="s">
        <v>343</v>
      </c>
      <c r="B251" t="s">
        <v>344</v>
      </c>
      <c r="C251" t="s">
        <v>345</v>
      </c>
      <c r="D251" t="s">
        <v>346</v>
      </c>
      <c r="E251" t="s">
        <v>487</v>
      </c>
      <c r="F251" t="s">
        <v>75</v>
      </c>
      <c r="G251" t="s">
        <v>831</v>
      </c>
      <c r="H251" t="s">
        <v>832</v>
      </c>
      <c r="I251" t="s">
        <v>852</v>
      </c>
      <c r="J251" t="s">
        <v>853</v>
      </c>
      <c r="AG251" t="s">
        <v>890</v>
      </c>
      <c r="AH251" t="s">
        <v>697</v>
      </c>
      <c r="AI251" t="s">
        <v>353</v>
      </c>
      <c r="AJ251" t="s">
        <v>852</v>
      </c>
      <c r="AK251" s="1">
        <v>6110</v>
      </c>
      <c r="AL251" s="1">
        <v>0</v>
      </c>
      <c r="AM251" s="1">
        <v>6110</v>
      </c>
      <c r="AN251" s="1">
        <v>3315</v>
      </c>
      <c r="AO251" s="1">
        <v>0</v>
      </c>
      <c r="AP251" s="1">
        <v>3315</v>
      </c>
      <c r="AQ251" s="1">
        <v>3575</v>
      </c>
      <c r="AR251" s="1">
        <v>0</v>
      </c>
      <c r="AS251" s="1">
        <v>3575</v>
      </c>
      <c r="AT251" s="1">
        <v>0</v>
      </c>
      <c r="BA251" s="195"/>
      <c r="BB251" s="195"/>
      <c r="BC251" s="195"/>
      <c r="BD251" s="195"/>
      <c r="BE251" s="195"/>
      <c r="BF251" s="195"/>
      <c r="BG251" s="195"/>
      <c r="BH251" s="195"/>
      <c r="BI251" s="195"/>
    </row>
    <row r="252" spans="1:61" x14ac:dyDescent="0.25">
      <c r="A252" t="s">
        <v>343</v>
      </c>
      <c r="B252" t="s">
        <v>344</v>
      </c>
      <c r="C252" t="s">
        <v>345</v>
      </c>
      <c r="D252" t="s">
        <v>346</v>
      </c>
      <c r="E252" t="s">
        <v>487</v>
      </c>
      <c r="F252" t="s">
        <v>75</v>
      </c>
      <c r="G252" t="s">
        <v>831</v>
      </c>
      <c r="H252" t="s">
        <v>832</v>
      </c>
      <c r="I252" t="s">
        <v>852</v>
      </c>
      <c r="J252" t="s">
        <v>853</v>
      </c>
      <c r="AG252" t="s">
        <v>891</v>
      </c>
      <c r="AH252" t="s">
        <v>892</v>
      </c>
      <c r="AI252" t="s">
        <v>353</v>
      </c>
      <c r="AJ252" t="s">
        <v>852</v>
      </c>
      <c r="AK252" s="1">
        <v>129588</v>
      </c>
      <c r="AL252" s="1">
        <v>0</v>
      </c>
      <c r="AM252" s="1">
        <v>129588</v>
      </c>
      <c r="AN252" s="1">
        <v>114106</v>
      </c>
      <c r="AO252" s="1">
        <v>0</v>
      </c>
      <c r="AP252" s="1">
        <v>114106</v>
      </c>
      <c r="AQ252" s="1">
        <v>163418</v>
      </c>
      <c r="AR252" s="1">
        <v>0</v>
      </c>
      <c r="AS252" s="1">
        <v>163418</v>
      </c>
      <c r="AT252" s="1">
        <v>0</v>
      </c>
      <c r="BA252" s="195"/>
      <c r="BB252" s="195"/>
      <c r="BC252" s="195"/>
      <c r="BD252" s="195"/>
      <c r="BE252" s="195"/>
      <c r="BF252" s="195"/>
      <c r="BG252" s="195"/>
      <c r="BH252" s="195"/>
      <c r="BI252" s="195"/>
    </row>
    <row r="253" spans="1:61" x14ac:dyDescent="0.25">
      <c r="A253" t="s">
        <v>343</v>
      </c>
      <c r="B253" t="s">
        <v>344</v>
      </c>
      <c r="C253" t="s">
        <v>345</v>
      </c>
      <c r="D253" t="s">
        <v>346</v>
      </c>
      <c r="E253" t="s">
        <v>487</v>
      </c>
      <c r="F253" t="s">
        <v>75</v>
      </c>
      <c r="G253" t="s">
        <v>831</v>
      </c>
      <c r="H253" t="s">
        <v>832</v>
      </c>
      <c r="I253" t="s">
        <v>852</v>
      </c>
      <c r="J253" t="s">
        <v>853</v>
      </c>
      <c r="AG253" t="s">
        <v>893</v>
      </c>
      <c r="AH253" t="s">
        <v>894</v>
      </c>
      <c r="AI253" t="s">
        <v>353</v>
      </c>
      <c r="AJ253" t="s">
        <v>852</v>
      </c>
      <c r="AK253" s="1">
        <v>9040.02</v>
      </c>
      <c r="AL253" s="1">
        <v>0</v>
      </c>
      <c r="AM253" s="1">
        <v>9040.02</v>
      </c>
      <c r="AN253" s="1">
        <v>4520.01</v>
      </c>
      <c r="AO253" s="1">
        <v>0</v>
      </c>
      <c r="AP253" s="1">
        <v>4520.01</v>
      </c>
      <c r="AQ253" s="1">
        <v>4520.01</v>
      </c>
      <c r="AR253" s="1">
        <v>0</v>
      </c>
      <c r="AS253" s="1">
        <v>4520.01</v>
      </c>
      <c r="AT253" s="1">
        <v>0</v>
      </c>
      <c r="BA253" s="195"/>
      <c r="BB253" s="195"/>
      <c r="BC253" s="195"/>
      <c r="BD253" s="195"/>
      <c r="BE253" s="195"/>
      <c r="BF253" s="195"/>
      <c r="BG253" s="195"/>
      <c r="BH253" s="195"/>
      <c r="BI253" s="195"/>
    </row>
    <row r="254" spans="1:61" x14ac:dyDescent="0.25">
      <c r="A254" t="s">
        <v>343</v>
      </c>
      <c r="B254" t="s">
        <v>344</v>
      </c>
      <c r="C254" t="s">
        <v>345</v>
      </c>
      <c r="D254" t="s">
        <v>346</v>
      </c>
      <c r="E254" t="s">
        <v>487</v>
      </c>
      <c r="F254" t="s">
        <v>75</v>
      </c>
      <c r="G254" t="s">
        <v>831</v>
      </c>
      <c r="H254" t="s">
        <v>832</v>
      </c>
      <c r="I254" t="s">
        <v>852</v>
      </c>
      <c r="J254" t="s">
        <v>853</v>
      </c>
      <c r="AG254" t="s">
        <v>895</v>
      </c>
      <c r="AH254" t="s">
        <v>894</v>
      </c>
      <c r="AI254" t="s">
        <v>353</v>
      </c>
      <c r="AJ254" t="s">
        <v>852</v>
      </c>
      <c r="AK254" s="1">
        <v>928553.18</v>
      </c>
      <c r="AL254" s="1">
        <v>0</v>
      </c>
      <c r="AM254" s="1">
        <v>928553.18</v>
      </c>
      <c r="AN254" s="1">
        <v>379276.59</v>
      </c>
      <c r="AO254" s="1">
        <v>0</v>
      </c>
      <c r="AP254" s="1">
        <v>379276.59</v>
      </c>
      <c r="AQ254" s="1">
        <v>359503.28</v>
      </c>
      <c r="AR254" s="1">
        <v>0</v>
      </c>
      <c r="AS254" s="1">
        <v>359503.28</v>
      </c>
      <c r="AT254" s="1">
        <v>0</v>
      </c>
      <c r="BA254" s="195"/>
      <c r="BB254" s="195"/>
      <c r="BC254" s="195"/>
      <c r="BD254" s="195"/>
      <c r="BE254" s="195"/>
      <c r="BF254" s="195"/>
      <c r="BG254" s="195"/>
      <c r="BH254" s="195"/>
      <c r="BI254" s="195"/>
    </row>
    <row r="255" spans="1:61" x14ac:dyDescent="0.25">
      <c r="A255" t="s">
        <v>343</v>
      </c>
      <c r="B255" t="s">
        <v>344</v>
      </c>
      <c r="C255" t="s">
        <v>345</v>
      </c>
      <c r="D255" t="s">
        <v>346</v>
      </c>
      <c r="E255" t="s">
        <v>487</v>
      </c>
      <c r="F255" t="s">
        <v>75</v>
      </c>
      <c r="G255" t="s">
        <v>831</v>
      </c>
      <c r="H255" t="s">
        <v>832</v>
      </c>
      <c r="I255" t="s">
        <v>852</v>
      </c>
      <c r="J255" t="s">
        <v>853</v>
      </c>
      <c r="AG255" t="s">
        <v>448</v>
      </c>
      <c r="AH255" t="s">
        <v>449</v>
      </c>
      <c r="AI255" t="s">
        <v>353</v>
      </c>
      <c r="AJ255" t="s">
        <v>852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1444.34</v>
      </c>
      <c r="AR255" s="1">
        <v>0</v>
      </c>
      <c r="AS255" s="1">
        <v>1444.34</v>
      </c>
      <c r="AT255" s="1">
        <v>0</v>
      </c>
      <c r="BA255" s="195"/>
      <c r="BB255" s="195"/>
      <c r="BC255" s="195"/>
      <c r="BD255" s="195"/>
      <c r="BE255" s="195"/>
      <c r="BF255" s="195"/>
      <c r="BG255" s="195"/>
      <c r="BH255" s="195"/>
      <c r="BI255" s="195"/>
    </row>
    <row r="256" spans="1:61" x14ac:dyDescent="0.25">
      <c r="A256" t="s">
        <v>343</v>
      </c>
      <c r="B256" t="s">
        <v>344</v>
      </c>
      <c r="C256" t="s">
        <v>345</v>
      </c>
      <c r="D256" t="s">
        <v>346</v>
      </c>
      <c r="E256" t="s">
        <v>487</v>
      </c>
      <c r="F256" t="s">
        <v>75</v>
      </c>
      <c r="G256" t="s">
        <v>831</v>
      </c>
      <c r="H256" t="s">
        <v>832</v>
      </c>
      <c r="I256" t="s">
        <v>852</v>
      </c>
      <c r="J256" t="s">
        <v>853</v>
      </c>
      <c r="AG256" t="s">
        <v>896</v>
      </c>
      <c r="AH256" t="s">
        <v>897</v>
      </c>
      <c r="AI256" t="s">
        <v>353</v>
      </c>
      <c r="AJ256" t="s">
        <v>852</v>
      </c>
      <c r="AK256" s="1">
        <v>1219.28</v>
      </c>
      <c r="AL256" s="1">
        <v>0</v>
      </c>
      <c r="AM256" s="1">
        <v>1219.28</v>
      </c>
      <c r="AN256" s="1">
        <v>892.32</v>
      </c>
      <c r="AO256" s="1">
        <v>0</v>
      </c>
      <c r="AP256" s="1">
        <v>892.32</v>
      </c>
      <c r="AQ256" s="1">
        <v>1175</v>
      </c>
      <c r="AR256" s="1">
        <v>0</v>
      </c>
      <c r="AS256" s="1">
        <v>1175</v>
      </c>
      <c r="AT256" s="1">
        <v>0</v>
      </c>
      <c r="BA256" s="195"/>
      <c r="BB256" s="195"/>
      <c r="BC256" s="195"/>
      <c r="BD256" s="195"/>
      <c r="BE256" s="195"/>
      <c r="BF256" s="195"/>
      <c r="BG256" s="195"/>
      <c r="BH256" s="195"/>
      <c r="BI256" s="195"/>
    </row>
    <row r="257" spans="1:61" x14ac:dyDescent="0.25">
      <c r="A257" t="s">
        <v>343</v>
      </c>
      <c r="B257" t="s">
        <v>344</v>
      </c>
      <c r="C257" t="s">
        <v>345</v>
      </c>
      <c r="D257" t="s">
        <v>346</v>
      </c>
      <c r="E257" t="s">
        <v>487</v>
      </c>
      <c r="F257" t="s">
        <v>75</v>
      </c>
      <c r="G257" t="s">
        <v>831</v>
      </c>
      <c r="H257" t="s">
        <v>832</v>
      </c>
      <c r="I257" t="s">
        <v>852</v>
      </c>
      <c r="J257" t="s">
        <v>853</v>
      </c>
      <c r="AG257" t="s">
        <v>898</v>
      </c>
      <c r="AH257" t="s">
        <v>648</v>
      </c>
      <c r="AI257" t="s">
        <v>353</v>
      </c>
      <c r="AJ257" t="s">
        <v>852</v>
      </c>
      <c r="AK257" s="1">
        <v>-14734</v>
      </c>
      <c r="AL257" s="1">
        <v>0</v>
      </c>
      <c r="AM257" s="1">
        <v>-14734</v>
      </c>
      <c r="AN257" s="1">
        <v>0</v>
      </c>
      <c r="AO257" s="1">
        <v>0</v>
      </c>
      <c r="AP257" s="1">
        <v>0</v>
      </c>
      <c r="AQ257" s="1">
        <v>7367</v>
      </c>
      <c r="AR257" s="1">
        <v>0</v>
      </c>
      <c r="AS257" s="1">
        <v>7367</v>
      </c>
      <c r="AT257" s="1">
        <v>0</v>
      </c>
      <c r="BA257" s="195"/>
      <c r="BB257" s="195"/>
      <c r="BC257" s="195"/>
      <c r="BD257" s="195"/>
      <c r="BE257" s="195"/>
      <c r="BF257" s="195"/>
      <c r="BG257" s="195"/>
      <c r="BH257" s="195"/>
      <c r="BI257" s="195"/>
    </row>
    <row r="258" spans="1:61" x14ac:dyDescent="0.25">
      <c r="A258" t="s">
        <v>343</v>
      </c>
      <c r="B258" t="s">
        <v>344</v>
      </c>
      <c r="C258" t="s">
        <v>345</v>
      </c>
      <c r="D258" t="s">
        <v>346</v>
      </c>
      <c r="E258" t="s">
        <v>487</v>
      </c>
      <c r="F258" t="s">
        <v>75</v>
      </c>
      <c r="G258" t="s">
        <v>831</v>
      </c>
      <c r="H258" t="s">
        <v>832</v>
      </c>
      <c r="I258" t="s">
        <v>899</v>
      </c>
      <c r="J258" t="s">
        <v>82</v>
      </c>
      <c r="AG258" t="s">
        <v>424</v>
      </c>
      <c r="AH258" t="s">
        <v>425</v>
      </c>
      <c r="AI258" t="s">
        <v>353</v>
      </c>
      <c r="AJ258" t="s">
        <v>899</v>
      </c>
      <c r="AK258" s="1">
        <v>900</v>
      </c>
      <c r="AL258" s="1">
        <v>0</v>
      </c>
      <c r="AM258" s="1">
        <v>900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BA258" s="195"/>
      <c r="BB258" s="195"/>
      <c r="BC258" s="195"/>
      <c r="BD258" s="195"/>
      <c r="BE258" s="195"/>
      <c r="BF258" s="195"/>
      <c r="BG258" s="195"/>
      <c r="BH258" s="195"/>
      <c r="BI258" s="195"/>
    </row>
    <row r="259" spans="1:61" x14ac:dyDescent="0.25">
      <c r="A259" t="s">
        <v>343</v>
      </c>
      <c r="B259" t="s">
        <v>344</v>
      </c>
      <c r="C259" t="s">
        <v>345</v>
      </c>
      <c r="D259" t="s">
        <v>346</v>
      </c>
      <c r="E259" t="s">
        <v>487</v>
      </c>
      <c r="F259" t="s">
        <v>75</v>
      </c>
      <c r="G259" t="s">
        <v>831</v>
      </c>
      <c r="H259" t="s">
        <v>832</v>
      </c>
      <c r="I259" t="s">
        <v>899</v>
      </c>
      <c r="J259" t="s">
        <v>82</v>
      </c>
      <c r="AG259" t="s">
        <v>900</v>
      </c>
      <c r="AH259" t="s">
        <v>901</v>
      </c>
      <c r="AI259" t="s">
        <v>353</v>
      </c>
      <c r="AJ259" t="s">
        <v>899</v>
      </c>
      <c r="AK259" s="1">
        <v>-59497.8</v>
      </c>
      <c r="AL259" s="1">
        <v>0</v>
      </c>
      <c r="AM259" s="1">
        <v>-59497.8</v>
      </c>
      <c r="AN259" s="1">
        <v>7238.1</v>
      </c>
      <c r="AO259" s="1">
        <v>0</v>
      </c>
      <c r="AP259" s="1">
        <v>7238.1</v>
      </c>
      <c r="AQ259" s="1">
        <v>36176.46</v>
      </c>
      <c r="AR259" s="1">
        <v>0</v>
      </c>
      <c r="AS259" s="1">
        <v>36176.46</v>
      </c>
      <c r="AT259" s="1">
        <v>0</v>
      </c>
      <c r="BA259" s="195"/>
      <c r="BB259" s="195"/>
      <c r="BC259" s="195"/>
      <c r="BD259" s="195"/>
      <c r="BE259" s="195"/>
      <c r="BF259" s="195"/>
      <c r="BG259" s="195"/>
      <c r="BH259" s="195"/>
      <c r="BI259" s="195"/>
    </row>
    <row r="260" spans="1:61" x14ac:dyDescent="0.25">
      <c r="A260" t="s">
        <v>343</v>
      </c>
      <c r="B260" t="s">
        <v>344</v>
      </c>
      <c r="C260" t="s">
        <v>345</v>
      </c>
      <c r="D260" t="s">
        <v>346</v>
      </c>
      <c r="E260" t="s">
        <v>487</v>
      </c>
      <c r="F260" t="s">
        <v>75</v>
      </c>
      <c r="G260" t="s">
        <v>831</v>
      </c>
      <c r="H260" t="s">
        <v>832</v>
      </c>
      <c r="I260" t="s">
        <v>899</v>
      </c>
      <c r="J260" t="s">
        <v>82</v>
      </c>
      <c r="AG260" t="s">
        <v>454</v>
      </c>
      <c r="AH260" t="s">
        <v>455</v>
      </c>
      <c r="AI260" t="s">
        <v>353</v>
      </c>
      <c r="AJ260" t="s">
        <v>899</v>
      </c>
      <c r="AK260" s="1">
        <v>83845.22</v>
      </c>
      <c r="AL260" s="1">
        <v>0</v>
      </c>
      <c r="AM260" s="1">
        <v>83845.22</v>
      </c>
      <c r="AN260" s="1">
        <v>9549.93</v>
      </c>
      <c r="AO260" s="1">
        <v>0</v>
      </c>
      <c r="AP260" s="1">
        <v>9549.93</v>
      </c>
      <c r="AQ260" s="1">
        <v>0</v>
      </c>
      <c r="AR260" s="1">
        <v>0</v>
      </c>
      <c r="AS260" s="1">
        <v>0</v>
      </c>
      <c r="AT260" s="1">
        <v>0</v>
      </c>
      <c r="BA260" s="195"/>
      <c r="BB260" s="195"/>
      <c r="BC260" s="195"/>
      <c r="BD260" s="195"/>
      <c r="BE260" s="195"/>
      <c r="BF260" s="195"/>
      <c r="BG260" s="195"/>
      <c r="BH260" s="195"/>
      <c r="BI260" s="195"/>
    </row>
    <row r="261" spans="1:61" x14ac:dyDescent="0.25">
      <c r="A261" t="s">
        <v>343</v>
      </c>
      <c r="B261" t="s">
        <v>344</v>
      </c>
      <c r="C261" t="s">
        <v>345</v>
      </c>
      <c r="D261" t="s">
        <v>346</v>
      </c>
      <c r="E261" t="s">
        <v>487</v>
      </c>
      <c r="F261" t="s">
        <v>75</v>
      </c>
      <c r="G261" t="s">
        <v>831</v>
      </c>
      <c r="H261" t="s">
        <v>832</v>
      </c>
      <c r="I261" t="s">
        <v>902</v>
      </c>
      <c r="J261" t="s">
        <v>903</v>
      </c>
      <c r="AG261" t="s">
        <v>904</v>
      </c>
      <c r="AH261" t="s">
        <v>905</v>
      </c>
      <c r="AI261" t="s">
        <v>353</v>
      </c>
      <c r="AJ261" t="s">
        <v>902</v>
      </c>
      <c r="AK261" s="1">
        <v>2748189.66</v>
      </c>
      <c r="AL261" s="1">
        <v>0</v>
      </c>
      <c r="AM261" s="1">
        <v>2748189.66</v>
      </c>
      <c r="AN261" s="1">
        <v>842986.03</v>
      </c>
      <c r="AO261" s="1">
        <v>0</v>
      </c>
      <c r="AP261" s="1">
        <v>842986.03</v>
      </c>
      <c r="AQ261" s="1">
        <v>311877.23</v>
      </c>
      <c r="AR261" s="1">
        <v>0</v>
      </c>
      <c r="AS261" s="1">
        <v>311877.23</v>
      </c>
      <c r="AT261" s="1">
        <v>0</v>
      </c>
      <c r="BA261" s="195"/>
      <c r="BB261" s="195"/>
      <c r="BC261" s="195"/>
      <c r="BD261" s="195"/>
      <c r="BE261" s="195"/>
      <c r="BF261" s="195"/>
      <c r="BG261" s="195"/>
      <c r="BH261" s="195"/>
      <c r="BI261" s="195"/>
    </row>
    <row r="262" spans="1:61" x14ac:dyDescent="0.25">
      <c r="A262" t="s">
        <v>343</v>
      </c>
      <c r="B262" t="s">
        <v>344</v>
      </c>
      <c r="C262" t="s">
        <v>345</v>
      </c>
      <c r="D262" t="s">
        <v>346</v>
      </c>
      <c r="E262" t="s">
        <v>487</v>
      </c>
      <c r="F262" t="s">
        <v>75</v>
      </c>
      <c r="G262" t="s">
        <v>906</v>
      </c>
      <c r="H262" t="s">
        <v>907</v>
      </c>
      <c r="AG262" t="s">
        <v>908</v>
      </c>
      <c r="AH262" t="s">
        <v>909</v>
      </c>
      <c r="AI262" t="s">
        <v>353</v>
      </c>
      <c r="AJ262" t="s">
        <v>906</v>
      </c>
      <c r="AK262" s="1">
        <v>104.08</v>
      </c>
      <c r="AL262" s="1">
        <v>0</v>
      </c>
      <c r="AM262" s="1">
        <v>104.08</v>
      </c>
      <c r="AN262" s="1">
        <v>26.02</v>
      </c>
      <c r="AO262" s="1">
        <v>0</v>
      </c>
      <c r="AP262" s="1">
        <v>26.02</v>
      </c>
      <c r="AQ262" s="1">
        <v>0</v>
      </c>
      <c r="AR262" s="1">
        <v>0</v>
      </c>
      <c r="AS262" s="1">
        <v>0</v>
      </c>
      <c r="AT262" s="1">
        <v>0</v>
      </c>
      <c r="BA262" s="195"/>
      <c r="BB262" s="195"/>
      <c r="BC262" s="195"/>
      <c r="BD262" s="195"/>
      <c r="BE262" s="195"/>
      <c r="BF262" s="195"/>
      <c r="BG262" s="195"/>
      <c r="BH262" s="195"/>
      <c r="BI262" s="195"/>
    </row>
    <row r="263" spans="1:61" x14ac:dyDescent="0.25">
      <c r="A263" t="s">
        <v>343</v>
      </c>
      <c r="B263" t="s">
        <v>344</v>
      </c>
      <c r="C263" t="s">
        <v>910</v>
      </c>
      <c r="D263" t="s">
        <v>90</v>
      </c>
      <c r="E263" t="s">
        <v>911</v>
      </c>
      <c r="F263" t="s">
        <v>912</v>
      </c>
      <c r="G263" t="s">
        <v>913</v>
      </c>
      <c r="H263" t="s">
        <v>914</v>
      </c>
      <c r="I263" t="s">
        <v>915</v>
      </c>
      <c r="J263" t="s">
        <v>103</v>
      </c>
      <c r="K263" t="s">
        <v>916</v>
      </c>
      <c r="L263" t="s">
        <v>91</v>
      </c>
      <c r="M263" t="s">
        <v>917</v>
      </c>
      <c r="N263" t="s">
        <v>95</v>
      </c>
      <c r="O263" t="s">
        <v>918</v>
      </c>
      <c r="P263" t="s">
        <v>919</v>
      </c>
      <c r="Q263" t="s">
        <v>920</v>
      </c>
      <c r="R263" t="s">
        <v>92</v>
      </c>
      <c r="AG263" t="s">
        <v>783</v>
      </c>
      <c r="AH263" t="s">
        <v>784</v>
      </c>
      <c r="AI263" t="s">
        <v>353</v>
      </c>
      <c r="AJ263" t="s">
        <v>920</v>
      </c>
      <c r="AK263" s="1">
        <v>258236.36</v>
      </c>
      <c r="AL263" s="1">
        <v>0</v>
      </c>
      <c r="AM263" s="1">
        <v>258236.36</v>
      </c>
      <c r="AN263" s="1">
        <v>129118.18</v>
      </c>
      <c r="AO263" s="1">
        <v>0</v>
      </c>
      <c r="AP263" s="1">
        <v>129118.18</v>
      </c>
      <c r="AQ263" s="1">
        <v>211607.02</v>
      </c>
      <c r="AR263" s="1">
        <v>0</v>
      </c>
      <c r="AS263" s="1">
        <v>211607.02</v>
      </c>
      <c r="AT263" s="1">
        <v>0</v>
      </c>
      <c r="BA263" s="195"/>
      <c r="BB263" s="195"/>
      <c r="BC263" s="195"/>
      <c r="BD263" s="195"/>
      <c r="BE263" s="195"/>
      <c r="BF263" s="195"/>
      <c r="BG263" s="195"/>
      <c r="BH263" s="195"/>
      <c r="BI263" s="195"/>
    </row>
    <row r="264" spans="1:61" x14ac:dyDescent="0.25">
      <c r="A264" t="s">
        <v>343</v>
      </c>
      <c r="B264" t="s">
        <v>344</v>
      </c>
      <c r="C264" t="s">
        <v>910</v>
      </c>
      <c r="D264" t="s">
        <v>90</v>
      </c>
      <c r="E264" t="s">
        <v>911</v>
      </c>
      <c r="F264" t="s">
        <v>912</v>
      </c>
      <c r="G264" t="s">
        <v>913</v>
      </c>
      <c r="H264" t="s">
        <v>914</v>
      </c>
      <c r="I264" t="s">
        <v>915</v>
      </c>
      <c r="J264" t="s">
        <v>103</v>
      </c>
      <c r="K264" t="s">
        <v>916</v>
      </c>
      <c r="L264" t="s">
        <v>91</v>
      </c>
      <c r="M264" t="s">
        <v>917</v>
      </c>
      <c r="N264" t="s">
        <v>95</v>
      </c>
      <c r="O264" t="s">
        <v>918</v>
      </c>
      <c r="P264" t="s">
        <v>919</v>
      </c>
      <c r="Q264" t="s">
        <v>920</v>
      </c>
      <c r="R264" t="s">
        <v>92</v>
      </c>
      <c r="AG264" t="s">
        <v>785</v>
      </c>
      <c r="AH264" t="s">
        <v>786</v>
      </c>
      <c r="AI264" t="s">
        <v>353</v>
      </c>
      <c r="AJ264" t="s">
        <v>920</v>
      </c>
      <c r="AK264" s="1">
        <v>350727.7</v>
      </c>
      <c r="AL264" s="1">
        <v>0</v>
      </c>
      <c r="AM264" s="1">
        <v>350727.7</v>
      </c>
      <c r="AN264" s="1">
        <v>175363.85</v>
      </c>
      <c r="AO264" s="1">
        <v>0</v>
      </c>
      <c r="AP264" s="1">
        <v>175363.85</v>
      </c>
      <c r="AQ264" s="1">
        <v>304157.21000000002</v>
      </c>
      <c r="AR264" s="1">
        <v>0</v>
      </c>
      <c r="AS264" s="1">
        <v>304157.21000000002</v>
      </c>
      <c r="AT264" s="1">
        <v>0</v>
      </c>
      <c r="BA264" s="195"/>
      <c r="BB264" s="195"/>
      <c r="BC264" s="195"/>
      <c r="BD264" s="195"/>
      <c r="BE264" s="195"/>
      <c r="BF264" s="195"/>
      <c r="BG264" s="195"/>
      <c r="BH264" s="195"/>
      <c r="BI264" s="195"/>
    </row>
    <row r="265" spans="1:61" x14ac:dyDescent="0.25">
      <c r="A265" t="s">
        <v>343</v>
      </c>
      <c r="B265" t="s">
        <v>344</v>
      </c>
      <c r="C265" t="s">
        <v>910</v>
      </c>
      <c r="D265" t="s">
        <v>90</v>
      </c>
      <c r="E265" t="s">
        <v>911</v>
      </c>
      <c r="F265" t="s">
        <v>912</v>
      </c>
      <c r="G265" t="s">
        <v>913</v>
      </c>
      <c r="H265" t="s">
        <v>914</v>
      </c>
      <c r="I265" t="s">
        <v>915</v>
      </c>
      <c r="J265" t="s">
        <v>103</v>
      </c>
      <c r="K265" t="s">
        <v>916</v>
      </c>
      <c r="L265" t="s">
        <v>91</v>
      </c>
      <c r="M265" t="s">
        <v>917</v>
      </c>
      <c r="N265" t="s">
        <v>95</v>
      </c>
      <c r="O265" t="s">
        <v>918</v>
      </c>
      <c r="P265" t="s">
        <v>919</v>
      </c>
      <c r="Q265" t="s">
        <v>921</v>
      </c>
      <c r="R265" t="s">
        <v>922</v>
      </c>
      <c r="AG265" t="s">
        <v>787</v>
      </c>
      <c r="AH265" t="s">
        <v>788</v>
      </c>
      <c r="AI265" t="s">
        <v>353</v>
      </c>
      <c r="AJ265" t="s">
        <v>921</v>
      </c>
      <c r="AK265" s="1">
        <v>28800</v>
      </c>
      <c r="AL265" s="1">
        <v>0</v>
      </c>
      <c r="AM265" s="1">
        <v>28800</v>
      </c>
      <c r="AN265" s="1">
        <v>14400</v>
      </c>
      <c r="AO265" s="1">
        <v>0</v>
      </c>
      <c r="AP265" s="1">
        <v>14400</v>
      </c>
      <c r="AQ265" s="1">
        <v>0</v>
      </c>
      <c r="AR265" s="1">
        <v>0</v>
      </c>
      <c r="AS265" s="1">
        <v>0</v>
      </c>
      <c r="AT265" s="1">
        <v>0</v>
      </c>
      <c r="BA265" s="195"/>
      <c r="BB265" s="195"/>
      <c r="BC265" s="195"/>
      <c r="BD265" s="195"/>
      <c r="BE265" s="195"/>
      <c r="BF265" s="195"/>
      <c r="BG265" s="195"/>
      <c r="BH265" s="195"/>
      <c r="BI265" s="195"/>
    </row>
    <row r="266" spans="1:61" x14ac:dyDescent="0.25">
      <c r="A266" t="s">
        <v>343</v>
      </c>
      <c r="B266" t="s">
        <v>344</v>
      </c>
      <c r="C266" t="s">
        <v>910</v>
      </c>
      <c r="D266" t="s">
        <v>90</v>
      </c>
      <c r="E266" t="s">
        <v>911</v>
      </c>
      <c r="F266" t="s">
        <v>912</v>
      </c>
      <c r="G266" t="s">
        <v>913</v>
      </c>
      <c r="H266" t="s">
        <v>914</v>
      </c>
      <c r="I266" t="s">
        <v>915</v>
      </c>
      <c r="J266" t="s">
        <v>103</v>
      </c>
      <c r="K266" t="s">
        <v>916</v>
      </c>
      <c r="L266" t="s">
        <v>91</v>
      </c>
      <c r="M266" t="s">
        <v>917</v>
      </c>
      <c r="N266" t="s">
        <v>95</v>
      </c>
      <c r="O266" t="s">
        <v>923</v>
      </c>
      <c r="P266" t="s">
        <v>94</v>
      </c>
      <c r="AG266" t="s">
        <v>737</v>
      </c>
      <c r="AH266" t="s">
        <v>738</v>
      </c>
      <c r="AI266" t="s">
        <v>353</v>
      </c>
      <c r="AJ266" t="s">
        <v>923</v>
      </c>
      <c r="AK266" s="1">
        <v>2932803.02</v>
      </c>
      <c r="AL266" s="1">
        <v>0</v>
      </c>
      <c r="AM266" s="1">
        <v>2932803.02</v>
      </c>
      <c r="AN266" s="1">
        <v>1466401.51</v>
      </c>
      <c r="AO266" s="1">
        <v>0</v>
      </c>
      <c r="AP266" s="1">
        <v>1466401.51</v>
      </c>
      <c r="AQ266" s="1">
        <v>1564044.46</v>
      </c>
      <c r="AR266" s="1">
        <v>0</v>
      </c>
      <c r="AS266" s="1">
        <v>1564044.46</v>
      </c>
      <c r="AT266" s="1">
        <v>0</v>
      </c>
      <c r="BA266" s="195"/>
      <c r="BB266" s="195"/>
      <c r="BC266" s="195"/>
      <c r="BD266" s="195"/>
      <c r="BE266" s="195"/>
      <c r="BF266" s="195"/>
      <c r="BG266" s="195"/>
      <c r="BH266" s="195"/>
      <c r="BI266" s="195"/>
    </row>
    <row r="267" spans="1:61" x14ac:dyDescent="0.25">
      <c r="A267" t="s">
        <v>343</v>
      </c>
      <c r="B267" t="s">
        <v>344</v>
      </c>
      <c r="C267" t="s">
        <v>910</v>
      </c>
      <c r="D267" t="s">
        <v>90</v>
      </c>
      <c r="E267" t="s">
        <v>911</v>
      </c>
      <c r="F267" t="s">
        <v>912</v>
      </c>
      <c r="G267" t="s">
        <v>913</v>
      </c>
      <c r="H267" t="s">
        <v>914</v>
      </c>
      <c r="I267" t="s">
        <v>915</v>
      </c>
      <c r="J267" t="s">
        <v>103</v>
      </c>
      <c r="K267" t="s">
        <v>916</v>
      </c>
      <c r="L267" t="s">
        <v>91</v>
      </c>
      <c r="M267" t="s">
        <v>917</v>
      </c>
      <c r="N267" t="s">
        <v>95</v>
      </c>
      <c r="O267" t="s">
        <v>923</v>
      </c>
      <c r="P267" t="s">
        <v>94</v>
      </c>
      <c r="AG267" t="s">
        <v>739</v>
      </c>
      <c r="AH267" t="s">
        <v>740</v>
      </c>
      <c r="AI267" t="s">
        <v>353</v>
      </c>
      <c r="AJ267" t="s">
        <v>923</v>
      </c>
      <c r="AK267" s="1">
        <v>94938</v>
      </c>
      <c r="AL267" s="1">
        <v>0</v>
      </c>
      <c r="AM267" s="1">
        <v>94938</v>
      </c>
      <c r="AN267" s="1">
        <v>47469</v>
      </c>
      <c r="AO267" s="1">
        <v>0</v>
      </c>
      <c r="AP267" s="1">
        <v>47469</v>
      </c>
      <c r="AQ267" s="1">
        <v>108274.35</v>
      </c>
      <c r="AR267" s="1">
        <v>0</v>
      </c>
      <c r="AS267" s="1">
        <v>108274.35</v>
      </c>
      <c r="AT267" s="1">
        <v>0</v>
      </c>
      <c r="BA267" s="195"/>
      <c r="BB267" s="195"/>
      <c r="BC267" s="195"/>
      <c r="BD267" s="195"/>
      <c r="BE267" s="195"/>
      <c r="BF267" s="195"/>
      <c r="BG267" s="195"/>
      <c r="BH267" s="195"/>
      <c r="BI267" s="195"/>
    </row>
    <row r="268" spans="1:61" x14ac:dyDescent="0.25">
      <c r="A268" t="s">
        <v>343</v>
      </c>
      <c r="B268" t="s">
        <v>344</v>
      </c>
      <c r="C268" t="s">
        <v>910</v>
      </c>
      <c r="D268" t="s">
        <v>90</v>
      </c>
      <c r="E268" t="s">
        <v>911</v>
      </c>
      <c r="F268" t="s">
        <v>912</v>
      </c>
      <c r="G268" t="s">
        <v>913</v>
      </c>
      <c r="H268" t="s">
        <v>914</v>
      </c>
      <c r="I268" t="s">
        <v>915</v>
      </c>
      <c r="J268" t="s">
        <v>103</v>
      </c>
      <c r="K268" t="s">
        <v>916</v>
      </c>
      <c r="L268" t="s">
        <v>91</v>
      </c>
      <c r="M268" t="s">
        <v>917</v>
      </c>
      <c r="N268" t="s">
        <v>95</v>
      </c>
      <c r="O268" t="s">
        <v>923</v>
      </c>
      <c r="P268" t="s">
        <v>94</v>
      </c>
      <c r="AG268" t="s">
        <v>741</v>
      </c>
      <c r="AH268" t="s">
        <v>742</v>
      </c>
      <c r="AI268" t="s">
        <v>353</v>
      </c>
      <c r="AJ268" t="s">
        <v>923</v>
      </c>
      <c r="AK268" s="1">
        <v>1040000</v>
      </c>
      <c r="AL268" s="1">
        <v>0</v>
      </c>
      <c r="AM268" s="1">
        <v>1040000</v>
      </c>
      <c r="AN268" s="1">
        <v>2141.12</v>
      </c>
      <c r="AO268" s="1">
        <v>0</v>
      </c>
      <c r="AP268" s="1">
        <v>2141.12</v>
      </c>
      <c r="AQ268" s="1">
        <v>12670.74</v>
      </c>
      <c r="AR268" s="1">
        <v>0</v>
      </c>
      <c r="AS268" s="1">
        <v>12670.74</v>
      </c>
      <c r="AT268" s="1">
        <v>0</v>
      </c>
      <c r="BA268" s="195"/>
      <c r="BB268" s="195"/>
      <c r="BC268" s="195"/>
      <c r="BD268" s="195"/>
      <c r="BE268" s="195"/>
      <c r="BF268" s="195"/>
      <c r="BG268" s="195"/>
      <c r="BH268" s="195"/>
      <c r="BI268" s="195"/>
    </row>
    <row r="269" spans="1:61" x14ac:dyDescent="0.25">
      <c r="A269" t="s">
        <v>343</v>
      </c>
      <c r="B269" t="s">
        <v>344</v>
      </c>
      <c r="C269" t="s">
        <v>910</v>
      </c>
      <c r="D269" t="s">
        <v>90</v>
      </c>
      <c r="E269" t="s">
        <v>911</v>
      </c>
      <c r="F269" t="s">
        <v>912</v>
      </c>
      <c r="G269" t="s">
        <v>913</v>
      </c>
      <c r="H269" t="s">
        <v>914</v>
      </c>
      <c r="I269" t="s">
        <v>915</v>
      </c>
      <c r="J269" t="s">
        <v>103</v>
      </c>
      <c r="K269" t="s">
        <v>916</v>
      </c>
      <c r="L269" t="s">
        <v>91</v>
      </c>
      <c r="M269" t="s">
        <v>917</v>
      </c>
      <c r="N269" t="s">
        <v>95</v>
      </c>
      <c r="O269" t="s">
        <v>923</v>
      </c>
      <c r="P269" t="s">
        <v>94</v>
      </c>
      <c r="AG269" t="s">
        <v>743</v>
      </c>
      <c r="AH269" t="s">
        <v>744</v>
      </c>
      <c r="AI269" t="s">
        <v>353</v>
      </c>
      <c r="AJ269" t="s">
        <v>923</v>
      </c>
      <c r="AK269" s="1">
        <v>669910.06000000006</v>
      </c>
      <c r="AL269" s="1">
        <v>0</v>
      </c>
      <c r="AM269" s="1">
        <v>669910.06000000006</v>
      </c>
      <c r="AN269" s="1">
        <v>334955.03000000003</v>
      </c>
      <c r="AO269" s="1">
        <v>0</v>
      </c>
      <c r="AP269" s="1">
        <v>334955.03000000003</v>
      </c>
      <c r="AQ269" s="1">
        <v>442116.04</v>
      </c>
      <c r="AR269" s="1">
        <v>0</v>
      </c>
      <c r="AS269" s="1">
        <v>442116.04</v>
      </c>
      <c r="AT269" s="1">
        <v>0</v>
      </c>
      <c r="BA269" s="195"/>
      <c r="BB269" s="195"/>
      <c r="BC269" s="195"/>
      <c r="BD269" s="195"/>
      <c r="BE269" s="195"/>
      <c r="BF269" s="195"/>
      <c r="BG269" s="195"/>
      <c r="BH269" s="195"/>
      <c r="BI269" s="195"/>
    </row>
    <row r="270" spans="1:61" x14ac:dyDescent="0.25">
      <c r="A270" t="s">
        <v>343</v>
      </c>
      <c r="B270" t="s">
        <v>344</v>
      </c>
      <c r="C270" t="s">
        <v>910</v>
      </c>
      <c r="D270" t="s">
        <v>90</v>
      </c>
      <c r="E270" t="s">
        <v>911</v>
      </c>
      <c r="F270" t="s">
        <v>912</v>
      </c>
      <c r="G270" t="s">
        <v>913</v>
      </c>
      <c r="H270" t="s">
        <v>914</v>
      </c>
      <c r="I270" t="s">
        <v>915</v>
      </c>
      <c r="J270" t="s">
        <v>103</v>
      </c>
      <c r="K270" t="s">
        <v>916</v>
      </c>
      <c r="L270" t="s">
        <v>91</v>
      </c>
      <c r="M270" t="s">
        <v>917</v>
      </c>
      <c r="N270" t="s">
        <v>95</v>
      </c>
      <c r="O270" t="s">
        <v>923</v>
      </c>
      <c r="P270" t="s">
        <v>94</v>
      </c>
      <c r="AG270" t="s">
        <v>745</v>
      </c>
      <c r="AH270" t="s">
        <v>746</v>
      </c>
      <c r="AI270" t="s">
        <v>353</v>
      </c>
      <c r="AJ270" t="s">
        <v>923</v>
      </c>
      <c r="AK270" s="1">
        <v>1235235.1399999999</v>
      </c>
      <c r="AL270" s="1">
        <v>0</v>
      </c>
      <c r="AM270" s="1">
        <v>1235235.1399999999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BA270" s="195"/>
      <c r="BB270" s="195"/>
      <c r="BC270" s="195"/>
      <c r="BD270" s="195"/>
      <c r="BE270" s="195"/>
      <c r="BF270" s="195"/>
      <c r="BG270" s="195"/>
      <c r="BH270" s="195"/>
      <c r="BI270" s="195"/>
    </row>
    <row r="271" spans="1:61" x14ac:dyDescent="0.25">
      <c r="A271" t="s">
        <v>343</v>
      </c>
      <c r="B271" t="s">
        <v>344</v>
      </c>
      <c r="C271" t="s">
        <v>910</v>
      </c>
      <c r="D271" t="s">
        <v>90</v>
      </c>
      <c r="E271" t="s">
        <v>911</v>
      </c>
      <c r="F271" t="s">
        <v>912</v>
      </c>
      <c r="G271" t="s">
        <v>913</v>
      </c>
      <c r="H271" t="s">
        <v>914</v>
      </c>
      <c r="I271" t="s">
        <v>915</v>
      </c>
      <c r="J271" t="s">
        <v>103</v>
      </c>
      <c r="K271" t="s">
        <v>916</v>
      </c>
      <c r="L271" t="s">
        <v>91</v>
      </c>
      <c r="M271" t="s">
        <v>917</v>
      </c>
      <c r="N271" t="s">
        <v>95</v>
      </c>
      <c r="O271" t="s">
        <v>923</v>
      </c>
      <c r="P271" t="s">
        <v>94</v>
      </c>
      <c r="AG271" t="s">
        <v>747</v>
      </c>
      <c r="AH271" t="s">
        <v>748</v>
      </c>
      <c r="AI271" t="s">
        <v>353</v>
      </c>
      <c r="AJ271" t="s">
        <v>923</v>
      </c>
      <c r="AK271" s="1">
        <v>160000</v>
      </c>
      <c r="AL271" s="1">
        <v>0</v>
      </c>
      <c r="AM271" s="1">
        <v>160000</v>
      </c>
      <c r="AN271" s="1">
        <v>1144433.94</v>
      </c>
      <c r="AO271" s="1">
        <v>0</v>
      </c>
      <c r="AP271" s="1">
        <v>1144433.94</v>
      </c>
      <c r="AQ271" s="1">
        <v>1208960.96</v>
      </c>
      <c r="AR271" s="1">
        <v>0</v>
      </c>
      <c r="AS271" s="1">
        <v>1208960.96</v>
      </c>
      <c r="AT271" s="1">
        <v>0</v>
      </c>
      <c r="BA271" s="195"/>
      <c r="BB271" s="195"/>
      <c r="BC271" s="195"/>
      <c r="BD271" s="195"/>
      <c r="BE271" s="195"/>
      <c r="BF271" s="195"/>
      <c r="BG271" s="195"/>
      <c r="BH271" s="195"/>
      <c r="BI271" s="195"/>
    </row>
    <row r="272" spans="1:61" x14ac:dyDescent="0.25">
      <c r="A272" t="s">
        <v>343</v>
      </c>
      <c r="B272" t="s">
        <v>344</v>
      </c>
      <c r="C272" t="s">
        <v>910</v>
      </c>
      <c r="D272" t="s">
        <v>90</v>
      </c>
      <c r="E272" t="s">
        <v>911</v>
      </c>
      <c r="F272" t="s">
        <v>912</v>
      </c>
      <c r="G272" t="s">
        <v>913</v>
      </c>
      <c r="H272" t="s">
        <v>914</v>
      </c>
      <c r="I272" t="s">
        <v>915</v>
      </c>
      <c r="J272" t="s">
        <v>103</v>
      </c>
      <c r="K272" t="s">
        <v>916</v>
      </c>
      <c r="L272" t="s">
        <v>91</v>
      </c>
      <c r="M272" t="s">
        <v>917</v>
      </c>
      <c r="N272" t="s">
        <v>95</v>
      </c>
      <c r="O272" t="s">
        <v>923</v>
      </c>
      <c r="P272" t="s">
        <v>94</v>
      </c>
      <c r="AG272" t="s">
        <v>749</v>
      </c>
      <c r="AH272" t="s">
        <v>750</v>
      </c>
      <c r="AI272" t="s">
        <v>353</v>
      </c>
      <c r="AJ272" t="s">
        <v>923</v>
      </c>
      <c r="AK272" s="1">
        <v>757912.7</v>
      </c>
      <c r="AL272" s="1">
        <v>0</v>
      </c>
      <c r="AM272" s="1">
        <v>757912.7</v>
      </c>
      <c r="AN272" s="1">
        <v>378956.35</v>
      </c>
      <c r="AO272" s="1">
        <v>0</v>
      </c>
      <c r="AP272" s="1">
        <v>378956.35</v>
      </c>
      <c r="AQ272" s="1">
        <v>309228.06</v>
      </c>
      <c r="AR272" s="1">
        <v>0</v>
      </c>
      <c r="AS272" s="1">
        <v>309228.06</v>
      </c>
      <c r="AT272" s="1">
        <v>0</v>
      </c>
      <c r="BA272" s="195"/>
      <c r="BB272" s="195"/>
      <c r="BC272" s="195"/>
      <c r="BD272" s="195"/>
      <c r="BE272" s="195"/>
      <c r="BF272" s="195"/>
      <c r="BG272" s="195"/>
      <c r="BH272" s="195"/>
      <c r="BI272" s="195"/>
    </row>
    <row r="273" spans="1:61" x14ac:dyDescent="0.25">
      <c r="A273" t="s">
        <v>343</v>
      </c>
      <c r="B273" t="s">
        <v>344</v>
      </c>
      <c r="C273" t="s">
        <v>910</v>
      </c>
      <c r="D273" t="s">
        <v>90</v>
      </c>
      <c r="E273" t="s">
        <v>911</v>
      </c>
      <c r="F273" t="s">
        <v>912</v>
      </c>
      <c r="G273" t="s">
        <v>913</v>
      </c>
      <c r="H273" t="s">
        <v>914</v>
      </c>
      <c r="I273" t="s">
        <v>915</v>
      </c>
      <c r="J273" t="s">
        <v>103</v>
      </c>
      <c r="K273" t="s">
        <v>916</v>
      </c>
      <c r="L273" t="s">
        <v>91</v>
      </c>
      <c r="M273" t="s">
        <v>917</v>
      </c>
      <c r="N273" t="s">
        <v>95</v>
      </c>
      <c r="O273" t="s">
        <v>923</v>
      </c>
      <c r="P273" t="s">
        <v>94</v>
      </c>
      <c r="AG273" t="s">
        <v>751</v>
      </c>
      <c r="AH273" t="s">
        <v>752</v>
      </c>
      <c r="AI273" t="s">
        <v>353</v>
      </c>
      <c r="AJ273" t="s">
        <v>923</v>
      </c>
      <c r="AK273" s="1">
        <v>9240</v>
      </c>
      <c r="AL273" s="1">
        <v>0</v>
      </c>
      <c r="AM273" s="1">
        <v>9240</v>
      </c>
      <c r="AN273" s="1">
        <v>4620</v>
      </c>
      <c r="AO273" s="1">
        <v>0</v>
      </c>
      <c r="AP273" s="1">
        <v>4620</v>
      </c>
      <c r="AQ273" s="1">
        <v>4000</v>
      </c>
      <c r="AR273" s="1">
        <v>0</v>
      </c>
      <c r="AS273" s="1">
        <v>4000</v>
      </c>
      <c r="AT273" s="1">
        <v>0</v>
      </c>
      <c r="BA273" s="195"/>
      <c r="BB273" s="195"/>
      <c r="BC273" s="195"/>
      <c r="BD273" s="195"/>
      <c r="BE273" s="195"/>
      <c r="BF273" s="195"/>
      <c r="BG273" s="195"/>
      <c r="BH273" s="195"/>
      <c r="BI273" s="195"/>
    </row>
    <row r="274" spans="1:61" x14ac:dyDescent="0.25">
      <c r="A274" t="s">
        <v>343</v>
      </c>
      <c r="B274" t="s">
        <v>344</v>
      </c>
      <c r="C274" t="s">
        <v>910</v>
      </c>
      <c r="D274" t="s">
        <v>90</v>
      </c>
      <c r="E274" t="s">
        <v>911</v>
      </c>
      <c r="F274" t="s">
        <v>912</v>
      </c>
      <c r="G274" t="s">
        <v>913</v>
      </c>
      <c r="H274" t="s">
        <v>914</v>
      </c>
      <c r="I274" t="s">
        <v>915</v>
      </c>
      <c r="J274" t="s">
        <v>103</v>
      </c>
      <c r="K274" t="s">
        <v>916</v>
      </c>
      <c r="L274" t="s">
        <v>91</v>
      </c>
      <c r="M274" t="s">
        <v>917</v>
      </c>
      <c r="N274" t="s">
        <v>95</v>
      </c>
      <c r="O274" t="s">
        <v>923</v>
      </c>
      <c r="P274" t="s">
        <v>94</v>
      </c>
      <c r="AG274" t="s">
        <v>753</v>
      </c>
      <c r="AH274" t="s">
        <v>754</v>
      </c>
      <c r="AI274" t="s">
        <v>353</v>
      </c>
      <c r="AJ274" t="s">
        <v>923</v>
      </c>
      <c r="AK274" s="1">
        <v>6810995.9199999999</v>
      </c>
      <c r="AL274" s="1">
        <v>0</v>
      </c>
      <c r="AM274" s="1">
        <v>6810995.9199999999</v>
      </c>
      <c r="AN274" s="1">
        <v>3405497.96</v>
      </c>
      <c r="AO274" s="1">
        <v>0</v>
      </c>
      <c r="AP274" s="1">
        <v>3405497.96</v>
      </c>
      <c r="AQ274" s="1">
        <v>2972947.09</v>
      </c>
      <c r="AR274" s="1">
        <v>0</v>
      </c>
      <c r="AS274" s="1">
        <v>2972947.09</v>
      </c>
      <c r="AT274" s="1">
        <v>0</v>
      </c>
      <c r="BA274" s="195"/>
      <c r="BB274" s="195"/>
      <c r="BC274" s="195"/>
      <c r="BD274" s="195"/>
      <c r="BE274" s="195"/>
      <c r="BF274" s="195"/>
      <c r="BG274" s="195"/>
      <c r="BH274" s="195"/>
      <c r="BI274" s="195"/>
    </row>
    <row r="275" spans="1:61" x14ac:dyDescent="0.25">
      <c r="A275" t="s">
        <v>343</v>
      </c>
      <c r="B275" t="s">
        <v>344</v>
      </c>
      <c r="C275" t="s">
        <v>910</v>
      </c>
      <c r="D275" t="s">
        <v>90</v>
      </c>
      <c r="E275" t="s">
        <v>911</v>
      </c>
      <c r="F275" t="s">
        <v>912</v>
      </c>
      <c r="G275" t="s">
        <v>913</v>
      </c>
      <c r="H275" t="s">
        <v>914</v>
      </c>
      <c r="I275" t="s">
        <v>915</v>
      </c>
      <c r="J275" t="s">
        <v>103</v>
      </c>
      <c r="K275" t="s">
        <v>916</v>
      </c>
      <c r="L275" t="s">
        <v>91</v>
      </c>
      <c r="M275" t="s">
        <v>917</v>
      </c>
      <c r="N275" t="s">
        <v>95</v>
      </c>
      <c r="O275" t="s">
        <v>923</v>
      </c>
      <c r="P275" t="s">
        <v>94</v>
      </c>
      <c r="AG275" t="s">
        <v>755</v>
      </c>
      <c r="AH275" t="s">
        <v>756</v>
      </c>
      <c r="AI275" t="s">
        <v>353</v>
      </c>
      <c r="AJ275" t="s">
        <v>923</v>
      </c>
      <c r="AK275" s="1">
        <v>21958.080000000002</v>
      </c>
      <c r="AL275" s="1">
        <v>0</v>
      </c>
      <c r="AM275" s="1">
        <v>21958.080000000002</v>
      </c>
      <c r="AN275" s="1">
        <v>10979.04</v>
      </c>
      <c r="AO275" s="1">
        <v>0</v>
      </c>
      <c r="AP275" s="1">
        <v>10979.04</v>
      </c>
      <c r="AQ275" s="1">
        <v>11648.39</v>
      </c>
      <c r="AR275" s="1">
        <v>0</v>
      </c>
      <c r="AS275" s="1">
        <v>11648.39</v>
      </c>
      <c r="AT275" s="1">
        <v>0</v>
      </c>
      <c r="BA275" s="195"/>
      <c r="BB275" s="195"/>
      <c r="BC275" s="195"/>
      <c r="BD275" s="195"/>
      <c r="BE275" s="195"/>
      <c r="BF275" s="195"/>
      <c r="BG275" s="195"/>
      <c r="BH275" s="195"/>
      <c r="BI275" s="195"/>
    </row>
    <row r="276" spans="1:61" x14ac:dyDescent="0.25">
      <c r="A276" t="s">
        <v>343</v>
      </c>
      <c r="B276" t="s">
        <v>344</v>
      </c>
      <c r="C276" t="s">
        <v>910</v>
      </c>
      <c r="D276" t="s">
        <v>90</v>
      </c>
      <c r="E276" t="s">
        <v>911</v>
      </c>
      <c r="F276" t="s">
        <v>912</v>
      </c>
      <c r="G276" t="s">
        <v>913</v>
      </c>
      <c r="H276" t="s">
        <v>914</v>
      </c>
      <c r="I276" t="s">
        <v>915</v>
      </c>
      <c r="J276" t="s">
        <v>103</v>
      </c>
      <c r="K276" t="s">
        <v>916</v>
      </c>
      <c r="L276" t="s">
        <v>91</v>
      </c>
      <c r="M276" t="s">
        <v>917</v>
      </c>
      <c r="N276" t="s">
        <v>95</v>
      </c>
      <c r="O276" t="s">
        <v>923</v>
      </c>
      <c r="P276" t="s">
        <v>94</v>
      </c>
      <c r="AG276" t="s">
        <v>757</v>
      </c>
      <c r="AH276" t="s">
        <v>758</v>
      </c>
      <c r="AI276" t="s">
        <v>353</v>
      </c>
      <c r="AJ276" t="s">
        <v>923</v>
      </c>
      <c r="AK276" s="1">
        <v>-4000.08</v>
      </c>
      <c r="AL276" s="1">
        <v>0</v>
      </c>
      <c r="AM276" s="1">
        <v>-4000.08</v>
      </c>
      <c r="AN276" s="1">
        <v>-2000.04</v>
      </c>
      <c r="AO276" s="1">
        <v>0</v>
      </c>
      <c r="AP276" s="1">
        <v>-2000.04</v>
      </c>
      <c r="AQ276" s="1">
        <v>2000.04</v>
      </c>
      <c r="AR276" s="1">
        <v>0</v>
      </c>
      <c r="AS276" s="1">
        <v>2000.04</v>
      </c>
      <c r="AT276" s="1">
        <v>0</v>
      </c>
      <c r="BA276" s="195"/>
      <c r="BB276" s="195"/>
      <c r="BC276" s="195"/>
      <c r="BD276" s="195"/>
      <c r="BE276" s="195"/>
      <c r="BF276" s="195"/>
      <c r="BG276" s="195"/>
      <c r="BH276" s="195"/>
      <c r="BI276" s="195"/>
    </row>
    <row r="277" spans="1:61" x14ac:dyDescent="0.25">
      <c r="A277" t="s">
        <v>343</v>
      </c>
      <c r="B277" t="s">
        <v>344</v>
      </c>
      <c r="C277" t="s">
        <v>910</v>
      </c>
      <c r="D277" t="s">
        <v>90</v>
      </c>
      <c r="E277" t="s">
        <v>911</v>
      </c>
      <c r="F277" t="s">
        <v>912</v>
      </c>
      <c r="G277" t="s">
        <v>913</v>
      </c>
      <c r="H277" t="s">
        <v>914</v>
      </c>
      <c r="I277" t="s">
        <v>915</v>
      </c>
      <c r="J277" t="s">
        <v>103</v>
      </c>
      <c r="K277" t="s">
        <v>916</v>
      </c>
      <c r="L277" t="s">
        <v>91</v>
      </c>
      <c r="M277" t="s">
        <v>917</v>
      </c>
      <c r="N277" t="s">
        <v>95</v>
      </c>
      <c r="O277" t="s">
        <v>923</v>
      </c>
      <c r="P277" t="s">
        <v>94</v>
      </c>
      <c r="AG277" t="s">
        <v>759</v>
      </c>
      <c r="AH277" t="s">
        <v>760</v>
      </c>
      <c r="AI277" t="s">
        <v>353</v>
      </c>
      <c r="AJ277" t="s">
        <v>923</v>
      </c>
      <c r="AK277" s="1">
        <v>607360.48</v>
      </c>
      <c r="AL277" s="1">
        <v>0</v>
      </c>
      <c r="AM277" s="1">
        <v>607360.48</v>
      </c>
      <c r="AN277" s="1">
        <v>303680.24</v>
      </c>
      <c r="AO277" s="1">
        <v>0</v>
      </c>
      <c r="AP277" s="1">
        <v>303680.24</v>
      </c>
      <c r="AQ277" s="1">
        <v>294913.21999999997</v>
      </c>
      <c r="AR277" s="1">
        <v>0</v>
      </c>
      <c r="AS277" s="1">
        <v>294913.21999999997</v>
      </c>
      <c r="AT277" s="1">
        <v>0</v>
      </c>
      <c r="BA277" s="195"/>
      <c r="BB277" s="195"/>
      <c r="BC277" s="195"/>
      <c r="BD277" s="195"/>
      <c r="BE277" s="195"/>
      <c r="BF277" s="195"/>
      <c r="BG277" s="195"/>
      <c r="BH277" s="195"/>
      <c r="BI277" s="195"/>
    </row>
    <row r="278" spans="1:61" x14ac:dyDescent="0.25">
      <c r="A278" t="s">
        <v>343</v>
      </c>
      <c r="B278" t="s">
        <v>344</v>
      </c>
      <c r="C278" t="s">
        <v>910</v>
      </c>
      <c r="D278" t="s">
        <v>90</v>
      </c>
      <c r="E278" t="s">
        <v>911</v>
      </c>
      <c r="F278" t="s">
        <v>912</v>
      </c>
      <c r="G278" t="s">
        <v>913</v>
      </c>
      <c r="H278" t="s">
        <v>914</v>
      </c>
      <c r="I278" t="s">
        <v>915</v>
      </c>
      <c r="J278" t="s">
        <v>103</v>
      </c>
      <c r="K278" t="s">
        <v>916</v>
      </c>
      <c r="L278" t="s">
        <v>91</v>
      </c>
      <c r="M278" t="s">
        <v>917</v>
      </c>
      <c r="N278" t="s">
        <v>95</v>
      </c>
      <c r="O278" t="s">
        <v>923</v>
      </c>
      <c r="P278" t="s">
        <v>94</v>
      </c>
      <c r="AG278" t="s">
        <v>761</v>
      </c>
      <c r="AH278" t="s">
        <v>762</v>
      </c>
      <c r="AI278" t="s">
        <v>353</v>
      </c>
      <c r="AJ278" t="s">
        <v>923</v>
      </c>
      <c r="AK278" s="1">
        <v>2230562.02</v>
      </c>
      <c r="AL278" s="1">
        <v>0</v>
      </c>
      <c r="AM278" s="1">
        <v>2230562.02</v>
      </c>
      <c r="AN278" s="1">
        <v>1115281.01</v>
      </c>
      <c r="AO278" s="1">
        <v>0</v>
      </c>
      <c r="AP278" s="1">
        <v>1115281.01</v>
      </c>
      <c r="AQ278" s="1">
        <v>2187998.2400000002</v>
      </c>
      <c r="AR278" s="1">
        <v>0</v>
      </c>
      <c r="AS278" s="1">
        <v>2187998.2400000002</v>
      </c>
      <c r="AT278" s="1">
        <v>0</v>
      </c>
      <c r="BA278" s="195"/>
      <c r="BB278" s="195"/>
      <c r="BC278" s="195"/>
      <c r="BD278" s="195"/>
      <c r="BE278" s="195"/>
      <c r="BF278" s="195"/>
      <c r="BG278" s="195"/>
      <c r="BH278" s="195"/>
      <c r="BI278" s="195"/>
    </row>
    <row r="279" spans="1:61" x14ac:dyDescent="0.25">
      <c r="A279" t="s">
        <v>343</v>
      </c>
      <c r="B279" t="s">
        <v>344</v>
      </c>
      <c r="C279" t="s">
        <v>910</v>
      </c>
      <c r="D279" t="s">
        <v>90</v>
      </c>
      <c r="E279" t="s">
        <v>911</v>
      </c>
      <c r="F279" t="s">
        <v>912</v>
      </c>
      <c r="G279" t="s">
        <v>913</v>
      </c>
      <c r="H279" t="s">
        <v>914</v>
      </c>
      <c r="I279" t="s">
        <v>915</v>
      </c>
      <c r="J279" t="s">
        <v>103</v>
      </c>
      <c r="K279" t="s">
        <v>916</v>
      </c>
      <c r="L279" t="s">
        <v>91</v>
      </c>
      <c r="M279" t="s">
        <v>917</v>
      </c>
      <c r="N279" t="s">
        <v>95</v>
      </c>
      <c r="O279" t="s">
        <v>923</v>
      </c>
      <c r="P279" t="s">
        <v>94</v>
      </c>
      <c r="AG279" t="s">
        <v>763</v>
      </c>
      <c r="AH279" t="s">
        <v>764</v>
      </c>
      <c r="AI279" t="s">
        <v>353</v>
      </c>
      <c r="AJ279" t="s">
        <v>923</v>
      </c>
      <c r="AK279" s="1">
        <v>11635.2</v>
      </c>
      <c r="AL279" s="1">
        <v>0</v>
      </c>
      <c r="AM279" s="1">
        <v>11635.2</v>
      </c>
      <c r="AN279" s="1">
        <v>5817.6</v>
      </c>
      <c r="AO279" s="1">
        <v>0</v>
      </c>
      <c r="AP279" s="1">
        <v>5817.6</v>
      </c>
      <c r="AQ279" s="1">
        <v>32350</v>
      </c>
      <c r="AR279" s="1">
        <v>0</v>
      </c>
      <c r="AS279" s="1">
        <v>32350</v>
      </c>
      <c r="AT279" s="1">
        <v>0</v>
      </c>
      <c r="BA279" s="195"/>
      <c r="BB279" s="195"/>
      <c r="BC279" s="195"/>
      <c r="BD279" s="195"/>
      <c r="BE279" s="195"/>
      <c r="BF279" s="195"/>
      <c r="BG279" s="195"/>
      <c r="BH279" s="195"/>
      <c r="BI279" s="195"/>
    </row>
    <row r="280" spans="1:61" x14ac:dyDescent="0.25">
      <c r="A280" t="s">
        <v>343</v>
      </c>
      <c r="B280" t="s">
        <v>344</v>
      </c>
      <c r="C280" t="s">
        <v>910</v>
      </c>
      <c r="D280" t="s">
        <v>90</v>
      </c>
      <c r="E280" t="s">
        <v>911</v>
      </c>
      <c r="F280" t="s">
        <v>912</v>
      </c>
      <c r="G280" t="s">
        <v>913</v>
      </c>
      <c r="H280" t="s">
        <v>914</v>
      </c>
      <c r="I280" t="s">
        <v>915</v>
      </c>
      <c r="J280" t="s">
        <v>103</v>
      </c>
      <c r="K280" t="s">
        <v>916</v>
      </c>
      <c r="L280" t="s">
        <v>91</v>
      </c>
      <c r="M280" t="s">
        <v>917</v>
      </c>
      <c r="N280" t="s">
        <v>95</v>
      </c>
      <c r="O280" t="s">
        <v>923</v>
      </c>
      <c r="P280" t="s">
        <v>94</v>
      </c>
      <c r="AG280" t="s">
        <v>765</v>
      </c>
      <c r="AH280" t="s">
        <v>766</v>
      </c>
      <c r="AI280" t="s">
        <v>353</v>
      </c>
      <c r="AJ280" t="s">
        <v>923</v>
      </c>
      <c r="AK280" s="1">
        <v>198073.96</v>
      </c>
      <c r="AL280" s="1">
        <v>0</v>
      </c>
      <c r="AM280" s="1">
        <v>198073.96</v>
      </c>
      <c r="AN280" s="1">
        <v>99036.98</v>
      </c>
      <c r="AO280" s="1">
        <v>0</v>
      </c>
      <c r="AP280" s="1">
        <v>99036.98</v>
      </c>
      <c r="AQ280" s="1">
        <v>56902.42</v>
      </c>
      <c r="AR280" s="1">
        <v>0</v>
      </c>
      <c r="AS280" s="1">
        <v>56902.42</v>
      </c>
      <c r="AT280" s="1">
        <v>0</v>
      </c>
      <c r="BA280" s="195"/>
      <c r="BB280" s="195"/>
      <c r="BC280" s="195"/>
      <c r="BD280" s="195"/>
      <c r="BE280" s="195"/>
      <c r="BF280" s="195"/>
      <c r="BG280" s="195"/>
      <c r="BH280" s="195"/>
      <c r="BI280" s="195"/>
    </row>
    <row r="281" spans="1:61" x14ac:dyDescent="0.25">
      <c r="A281" t="s">
        <v>343</v>
      </c>
      <c r="B281" t="s">
        <v>344</v>
      </c>
      <c r="C281" t="s">
        <v>910</v>
      </c>
      <c r="D281" t="s">
        <v>90</v>
      </c>
      <c r="E281" t="s">
        <v>911</v>
      </c>
      <c r="F281" t="s">
        <v>912</v>
      </c>
      <c r="G281" t="s">
        <v>913</v>
      </c>
      <c r="H281" t="s">
        <v>914</v>
      </c>
      <c r="I281" t="s">
        <v>915</v>
      </c>
      <c r="J281" t="s">
        <v>103</v>
      </c>
      <c r="K281" t="s">
        <v>916</v>
      </c>
      <c r="L281" t="s">
        <v>91</v>
      </c>
      <c r="M281" t="s">
        <v>917</v>
      </c>
      <c r="N281" t="s">
        <v>95</v>
      </c>
      <c r="O281" t="s">
        <v>923</v>
      </c>
      <c r="P281" t="s">
        <v>94</v>
      </c>
      <c r="AG281" t="s">
        <v>767</v>
      </c>
      <c r="AH281" t="s">
        <v>768</v>
      </c>
      <c r="AI281" t="s">
        <v>353</v>
      </c>
      <c r="AJ281" t="s">
        <v>923</v>
      </c>
      <c r="AK281" s="1">
        <v>127255.58</v>
      </c>
      <c r="AL281" s="1">
        <v>0</v>
      </c>
      <c r="AM281" s="1">
        <v>127255.58</v>
      </c>
      <c r="AN281" s="1">
        <v>63627.79</v>
      </c>
      <c r="AO281" s="1">
        <v>0</v>
      </c>
      <c r="AP281" s="1">
        <v>63627.79</v>
      </c>
      <c r="AQ281" s="1">
        <v>13315.13</v>
      </c>
      <c r="AR281" s="1">
        <v>0</v>
      </c>
      <c r="AS281" s="1">
        <v>13315.13</v>
      </c>
      <c r="AT281" s="1">
        <v>0</v>
      </c>
      <c r="BA281" s="195"/>
      <c r="BB281" s="195"/>
      <c r="BC281" s="195"/>
      <c r="BD281" s="195"/>
      <c r="BE281" s="195"/>
      <c r="BF281" s="195"/>
      <c r="BG281" s="195"/>
      <c r="BH281" s="195"/>
      <c r="BI281" s="195"/>
    </row>
    <row r="282" spans="1:61" x14ac:dyDescent="0.25">
      <c r="A282" t="s">
        <v>343</v>
      </c>
      <c r="B282" t="s">
        <v>344</v>
      </c>
      <c r="C282" t="s">
        <v>910</v>
      </c>
      <c r="D282" t="s">
        <v>90</v>
      </c>
      <c r="E282" t="s">
        <v>911</v>
      </c>
      <c r="F282" t="s">
        <v>912</v>
      </c>
      <c r="G282" t="s">
        <v>913</v>
      </c>
      <c r="H282" t="s">
        <v>914</v>
      </c>
      <c r="I282" t="s">
        <v>915</v>
      </c>
      <c r="J282" t="s">
        <v>103</v>
      </c>
      <c r="K282" t="s">
        <v>916</v>
      </c>
      <c r="L282" t="s">
        <v>91</v>
      </c>
      <c r="M282" t="s">
        <v>917</v>
      </c>
      <c r="N282" t="s">
        <v>95</v>
      </c>
      <c r="O282" t="s">
        <v>923</v>
      </c>
      <c r="P282" t="s">
        <v>94</v>
      </c>
      <c r="AG282" t="s">
        <v>769</v>
      </c>
      <c r="AH282" t="s">
        <v>770</v>
      </c>
      <c r="AI282" t="s">
        <v>353</v>
      </c>
      <c r="AJ282" t="s">
        <v>923</v>
      </c>
      <c r="AK282" s="1">
        <v>387777.28000000003</v>
      </c>
      <c r="AL282" s="1">
        <v>0</v>
      </c>
      <c r="AM282" s="1">
        <v>387777.28000000003</v>
      </c>
      <c r="AN282" s="1">
        <v>193888.64000000001</v>
      </c>
      <c r="AO282" s="1">
        <v>0</v>
      </c>
      <c r="AP282" s="1">
        <v>193888.64000000001</v>
      </c>
      <c r="AQ282" s="1">
        <v>131639.43</v>
      </c>
      <c r="AR282" s="1">
        <v>0</v>
      </c>
      <c r="AS282" s="1">
        <v>131639.43</v>
      </c>
      <c r="AT282" s="1">
        <v>0</v>
      </c>
      <c r="BA282" s="195"/>
      <c r="BB282" s="195"/>
      <c r="BC282" s="195"/>
      <c r="BD282" s="195"/>
      <c r="BE282" s="195"/>
      <c r="BF282" s="195"/>
      <c r="BG282" s="195"/>
      <c r="BH282" s="195"/>
      <c r="BI282" s="195"/>
    </row>
    <row r="283" spans="1:61" x14ac:dyDescent="0.25">
      <c r="A283" t="s">
        <v>343</v>
      </c>
      <c r="B283" t="s">
        <v>344</v>
      </c>
      <c r="C283" t="s">
        <v>910</v>
      </c>
      <c r="D283" t="s">
        <v>90</v>
      </c>
      <c r="E283" t="s">
        <v>911</v>
      </c>
      <c r="F283" t="s">
        <v>912</v>
      </c>
      <c r="G283" t="s">
        <v>913</v>
      </c>
      <c r="H283" t="s">
        <v>914</v>
      </c>
      <c r="I283" t="s">
        <v>915</v>
      </c>
      <c r="J283" t="s">
        <v>103</v>
      </c>
      <c r="K283" t="s">
        <v>916</v>
      </c>
      <c r="L283" t="s">
        <v>91</v>
      </c>
      <c r="M283" t="s">
        <v>917</v>
      </c>
      <c r="N283" t="s">
        <v>95</v>
      </c>
      <c r="O283" t="s">
        <v>923</v>
      </c>
      <c r="P283" t="s">
        <v>94</v>
      </c>
      <c r="AG283" t="s">
        <v>771</v>
      </c>
      <c r="AH283" t="s">
        <v>772</v>
      </c>
      <c r="AI283" t="s">
        <v>353</v>
      </c>
      <c r="AJ283" t="s">
        <v>923</v>
      </c>
      <c r="AK283" s="1">
        <v>603160.38</v>
      </c>
      <c r="AL283" s="1">
        <v>0</v>
      </c>
      <c r="AM283" s="1">
        <v>603160.38</v>
      </c>
      <c r="AN283" s="1">
        <v>301580.19</v>
      </c>
      <c r="AO283" s="1">
        <v>0</v>
      </c>
      <c r="AP283" s="1">
        <v>301580.19</v>
      </c>
      <c r="AQ283" s="1">
        <v>258796.34</v>
      </c>
      <c r="AR283" s="1">
        <v>0</v>
      </c>
      <c r="AS283" s="1">
        <v>258796.34</v>
      </c>
      <c r="AT283" s="1">
        <v>0</v>
      </c>
      <c r="BA283" s="195"/>
      <c r="BB283" s="195"/>
      <c r="BC283" s="195"/>
      <c r="BD283" s="195"/>
      <c r="BE283" s="195"/>
      <c r="BF283" s="195"/>
      <c r="BG283" s="195"/>
      <c r="BH283" s="195"/>
      <c r="BI283" s="195"/>
    </row>
    <row r="284" spans="1:61" x14ac:dyDescent="0.25">
      <c r="A284" t="s">
        <v>343</v>
      </c>
      <c r="B284" t="s">
        <v>344</v>
      </c>
      <c r="C284" t="s">
        <v>910</v>
      </c>
      <c r="D284" t="s">
        <v>90</v>
      </c>
      <c r="E284" t="s">
        <v>911</v>
      </c>
      <c r="F284" t="s">
        <v>912</v>
      </c>
      <c r="G284" t="s">
        <v>913</v>
      </c>
      <c r="H284" t="s">
        <v>914</v>
      </c>
      <c r="I284" t="s">
        <v>915</v>
      </c>
      <c r="J284" t="s">
        <v>103</v>
      </c>
      <c r="K284" t="s">
        <v>916</v>
      </c>
      <c r="L284" t="s">
        <v>91</v>
      </c>
      <c r="M284" t="s">
        <v>917</v>
      </c>
      <c r="N284" t="s">
        <v>95</v>
      </c>
      <c r="O284" t="s">
        <v>923</v>
      </c>
      <c r="P284" t="s">
        <v>94</v>
      </c>
      <c r="AG284" t="s">
        <v>773</v>
      </c>
      <c r="AH284" t="s">
        <v>774</v>
      </c>
      <c r="AI284" t="s">
        <v>353</v>
      </c>
      <c r="AJ284" t="s">
        <v>923</v>
      </c>
      <c r="AK284" s="1">
        <v>35918.54</v>
      </c>
      <c r="AL284" s="1">
        <v>0</v>
      </c>
      <c r="AM284" s="1">
        <v>35918.54</v>
      </c>
      <c r="AN284" s="1">
        <v>17959.27</v>
      </c>
      <c r="AO284" s="1">
        <v>0</v>
      </c>
      <c r="AP284" s="1">
        <v>17959.27</v>
      </c>
      <c r="AQ284" s="1">
        <v>16110.25</v>
      </c>
      <c r="AR284" s="1">
        <v>0</v>
      </c>
      <c r="AS284" s="1">
        <v>16110.25</v>
      </c>
      <c r="AT284" s="1">
        <v>0</v>
      </c>
      <c r="BA284" s="195"/>
      <c r="BB284" s="195"/>
      <c r="BC284" s="195"/>
      <c r="BD284" s="195"/>
      <c r="BE284" s="195"/>
      <c r="BF284" s="195"/>
      <c r="BG284" s="195"/>
      <c r="BH284" s="195"/>
      <c r="BI284" s="195"/>
    </row>
    <row r="285" spans="1:61" x14ac:dyDescent="0.25">
      <c r="A285" t="s">
        <v>343</v>
      </c>
      <c r="B285" t="s">
        <v>344</v>
      </c>
      <c r="C285" t="s">
        <v>910</v>
      </c>
      <c r="D285" t="s">
        <v>90</v>
      </c>
      <c r="E285" t="s">
        <v>911</v>
      </c>
      <c r="F285" t="s">
        <v>912</v>
      </c>
      <c r="G285" t="s">
        <v>913</v>
      </c>
      <c r="H285" t="s">
        <v>914</v>
      </c>
      <c r="I285" t="s">
        <v>915</v>
      </c>
      <c r="J285" t="s">
        <v>103</v>
      </c>
      <c r="K285" t="s">
        <v>916</v>
      </c>
      <c r="L285" t="s">
        <v>91</v>
      </c>
      <c r="M285" t="s">
        <v>917</v>
      </c>
      <c r="N285" t="s">
        <v>95</v>
      </c>
      <c r="O285" t="s">
        <v>923</v>
      </c>
      <c r="P285" t="s">
        <v>94</v>
      </c>
      <c r="AG285" t="s">
        <v>775</v>
      </c>
      <c r="AH285" t="s">
        <v>776</v>
      </c>
      <c r="AI285" t="s">
        <v>353</v>
      </c>
      <c r="AJ285" t="s">
        <v>923</v>
      </c>
      <c r="AK285" s="1">
        <v>1337.04</v>
      </c>
      <c r="AL285" s="1">
        <v>0</v>
      </c>
      <c r="AM285" s="1">
        <v>1337.04</v>
      </c>
      <c r="AN285" s="1">
        <v>668.52</v>
      </c>
      <c r="AO285" s="1">
        <v>0</v>
      </c>
      <c r="AP285" s="1">
        <v>668.52</v>
      </c>
      <c r="AQ285" s="1">
        <v>662.04</v>
      </c>
      <c r="AR285" s="1">
        <v>0</v>
      </c>
      <c r="AS285" s="1">
        <v>662.04</v>
      </c>
      <c r="AT285" s="1">
        <v>0</v>
      </c>
      <c r="BA285" s="195"/>
      <c r="BB285" s="195"/>
      <c r="BC285" s="195"/>
      <c r="BD285" s="195"/>
      <c r="BE285" s="195"/>
      <c r="BF285" s="195"/>
      <c r="BG285" s="195"/>
      <c r="BH285" s="195"/>
      <c r="BI285" s="195"/>
    </row>
    <row r="286" spans="1:61" x14ac:dyDescent="0.25">
      <c r="A286" t="s">
        <v>343</v>
      </c>
      <c r="B286" t="s">
        <v>344</v>
      </c>
      <c r="C286" t="s">
        <v>910</v>
      </c>
      <c r="D286" t="s">
        <v>90</v>
      </c>
      <c r="E286" t="s">
        <v>911</v>
      </c>
      <c r="F286" t="s">
        <v>912</v>
      </c>
      <c r="G286" t="s">
        <v>913</v>
      </c>
      <c r="H286" t="s">
        <v>914</v>
      </c>
      <c r="I286" t="s">
        <v>915</v>
      </c>
      <c r="J286" t="s">
        <v>103</v>
      </c>
      <c r="K286" t="s">
        <v>916</v>
      </c>
      <c r="L286" t="s">
        <v>91</v>
      </c>
      <c r="M286" t="s">
        <v>917</v>
      </c>
      <c r="N286" t="s">
        <v>95</v>
      </c>
      <c r="O286" t="s">
        <v>923</v>
      </c>
      <c r="P286" t="s">
        <v>94</v>
      </c>
      <c r="AG286" t="s">
        <v>777</v>
      </c>
      <c r="AH286" t="s">
        <v>778</v>
      </c>
      <c r="AI286" t="s">
        <v>353</v>
      </c>
      <c r="AJ286" t="s">
        <v>923</v>
      </c>
      <c r="AK286" s="1">
        <v>4011.12</v>
      </c>
      <c r="AL286" s="1">
        <v>0</v>
      </c>
      <c r="AM286" s="1">
        <v>4011.12</v>
      </c>
      <c r="AN286" s="1">
        <v>2005.56</v>
      </c>
      <c r="AO286" s="1">
        <v>0</v>
      </c>
      <c r="AP286" s="1">
        <v>2005.56</v>
      </c>
      <c r="AQ286" s="1">
        <v>1986.12</v>
      </c>
      <c r="AR286" s="1">
        <v>0</v>
      </c>
      <c r="AS286" s="1">
        <v>1986.12</v>
      </c>
      <c r="AT286" s="1">
        <v>0</v>
      </c>
      <c r="BA286" s="195"/>
      <c r="BB286" s="195"/>
      <c r="BC286" s="195"/>
      <c r="BD286" s="195"/>
      <c r="BE286" s="195"/>
      <c r="BF286" s="195"/>
      <c r="BG286" s="195"/>
      <c r="BH286" s="195"/>
      <c r="BI286" s="195"/>
    </row>
    <row r="287" spans="1:61" x14ac:dyDescent="0.25">
      <c r="A287" t="s">
        <v>343</v>
      </c>
      <c r="B287" t="s">
        <v>344</v>
      </c>
      <c r="C287" t="s">
        <v>910</v>
      </c>
      <c r="D287" t="s">
        <v>90</v>
      </c>
      <c r="E287" t="s">
        <v>911</v>
      </c>
      <c r="F287" t="s">
        <v>912</v>
      </c>
      <c r="G287" t="s">
        <v>913</v>
      </c>
      <c r="H287" t="s">
        <v>914</v>
      </c>
      <c r="I287" t="s">
        <v>915</v>
      </c>
      <c r="J287" t="s">
        <v>103</v>
      </c>
      <c r="K287" t="s">
        <v>916</v>
      </c>
      <c r="L287" t="s">
        <v>91</v>
      </c>
      <c r="M287" t="s">
        <v>917</v>
      </c>
      <c r="N287" t="s">
        <v>95</v>
      </c>
      <c r="O287" t="s">
        <v>923</v>
      </c>
      <c r="P287" t="s">
        <v>94</v>
      </c>
      <c r="AG287" t="s">
        <v>779</v>
      </c>
      <c r="AH287" t="s">
        <v>780</v>
      </c>
      <c r="AI287" t="s">
        <v>353</v>
      </c>
      <c r="AJ287" t="s">
        <v>923</v>
      </c>
      <c r="AK287" s="1">
        <v>239287.72</v>
      </c>
      <c r="AL287" s="1">
        <v>0</v>
      </c>
      <c r="AM287" s="1">
        <v>239287.72</v>
      </c>
      <c r="AN287" s="1">
        <v>119643.86</v>
      </c>
      <c r="AO287" s="1">
        <v>0</v>
      </c>
      <c r="AP287" s="1">
        <v>119643.86</v>
      </c>
      <c r="AQ287" s="1">
        <v>66460.73</v>
      </c>
      <c r="AR287" s="1">
        <v>0</v>
      </c>
      <c r="AS287" s="1">
        <v>66460.73</v>
      </c>
      <c r="AT287" s="1">
        <v>0</v>
      </c>
      <c r="BA287" s="195"/>
      <c r="BB287" s="195"/>
      <c r="BC287" s="195"/>
      <c r="BD287" s="195"/>
      <c r="BE287" s="195"/>
      <c r="BF287" s="195"/>
      <c r="BG287" s="195"/>
      <c r="BH287" s="195"/>
      <c r="BI287" s="195"/>
    </row>
    <row r="288" spans="1:61" x14ac:dyDescent="0.25">
      <c r="A288" t="s">
        <v>343</v>
      </c>
      <c r="B288" t="s">
        <v>344</v>
      </c>
      <c r="C288" t="s">
        <v>910</v>
      </c>
      <c r="D288" t="s">
        <v>90</v>
      </c>
      <c r="E288" t="s">
        <v>911</v>
      </c>
      <c r="F288" t="s">
        <v>912</v>
      </c>
      <c r="G288" t="s">
        <v>913</v>
      </c>
      <c r="H288" t="s">
        <v>914</v>
      </c>
      <c r="I288" t="s">
        <v>915</v>
      </c>
      <c r="J288" t="s">
        <v>103</v>
      </c>
      <c r="K288" t="s">
        <v>916</v>
      </c>
      <c r="L288" t="s">
        <v>91</v>
      </c>
      <c r="M288" t="s">
        <v>917</v>
      </c>
      <c r="N288" t="s">
        <v>95</v>
      </c>
      <c r="O288" t="s">
        <v>923</v>
      </c>
      <c r="P288" t="s">
        <v>94</v>
      </c>
      <c r="AG288" t="s">
        <v>781</v>
      </c>
      <c r="AH288" t="s">
        <v>782</v>
      </c>
      <c r="AI288" t="s">
        <v>353</v>
      </c>
      <c r="AJ288" t="s">
        <v>923</v>
      </c>
      <c r="AK288" s="1">
        <v>51481.38</v>
      </c>
      <c r="AL288" s="1">
        <v>0</v>
      </c>
      <c r="AM288" s="1">
        <v>51481.38</v>
      </c>
      <c r="AN288" s="1">
        <v>25740.69</v>
      </c>
      <c r="AO288" s="1">
        <v>0</v>
      </c>
      <c r="AP288" s="1">
        <v>25740.69</v>
      </c>
      <c r="AQ288" s="1">
        <v>14143.74</v>
      </c>
      <c r="AR288" s="1">
        <v>0</v>
      </c>
      <c r="AS288" s="1">
        <v>14143.74</v>
      </c>
      <c r="AT288" s="1">
        <v>0</v>
      </c>
      <c r="BA288" s="195"/>
      <c r="BB288" s="195"/>
      <c r="BC288" s="195"/>
      <c r="BD288" s="195"/>
      <c r="BE288" s="195"/>
      <c r="BF288" s="195"/>
      <c r="BG288" s="195"/>
      <c r="BH288" s="195"/>
      <c r="BI288" s="195"/>
    </row>
    <row r="289" spans="1:61" x14ac:dyDescent="0.25">
      <c r="A289" t="s">
        <v>343</v>
      </c>
      <c r="B289" t="s">
        <v>344</v>
      </c>
      <c r="C289" t="s">
        <v>910</v>
      </c>
      <c r="D289" t="s">
        <v>90</v>
      </c>
      <c r="E289" t="s">
        <v>911</v>
      </c>
      <c r="F289" t="s">
        <v>912</v>
      </c>
      <c r="G289" t="s">
        <v>913</v>
      </c>
      <c r="H289" t="s">
        <v>914</v>
      </c>
      <c r="I289" t="s">
        <v>915</v>
      </c>
      <c r="J289" t="s">
        <v>103</v>
      </c>
      <c r="K289" t="s">
        <v>916</v>
      </c>
      <c r="L289" t="s">
        <v>91</v>
      </c>
      <c r="M289" t="s">
        <v>917</v>
      </c>
      <c r="N289" t="s">
        <v>95</v>
      </c>
      <c r="O289" t="s">
        <v>923</v>
      </c>
      <c r="P289" t="s">
        <v>94</v>
      </c>
      <c r="AG289" t="s">
        <v>789</v>
      </c>
      <c r="AH289" t="s">
        <v>790</v>
      </c>
      <c r="AI289" t="s">
        <v>353</v>
      </c>
      <c r="AJ289" t="s">
        <v>923</v>
      </c>
      <c r="AK289" s="1">
        <v>3980.7</v>
      </c>
      <c r="AL289" s="1">
        <v>0</v>
      </c>
      <c r="AM289" s="1">
        <v>3980.7</v>
      </c>
      <c r="AN289" s="1">
        <v>1990.35</v>
      </c>
      <c r="AO289" s="1">
        <v>0</v>
      </c>
      <c r="AP289" s="1">
        <v>1990.35</v>
      </c>
      <c r="AQ289" s="1">
        <v>11153.3</v>
      </c>
      <c r="AR289" s="1">
        <v>0</v>
      </c>
      <c r="AS289" s="1">
        <v>11153.3</v>
      </c>
      <c r="AT289" s="1">
        <v>0</v>
      </c>
      <c r="BA289" s="195"/>
      <c r="BB289" s="195"/>
      <c r="BC289" s="195"/>
      <c r="BD289" s="195"/>
      <c r="BE289" s="195"/>
      <c r="BF289" s="195"/>
      <c r="BG289" s="195"/>
      <c r="BH289" s="195"/>
      <c r="BI289" s="195"/>
    </row>
    <row r="290" spans="1:61" x14ac:dyDescent="0.25">
      <c r="A290" t="s">
        <v>343</v>
      </c>
      <c r="B290" t="s">
        <v>344</v>
      </c>
      <c r="C290" t="s">
        <v>910</v>
      </c>
      <c r="D290" t="s">
        <v>90</v>
      </c>
      <c r="E290" t="s">
        <v>911</v>
      </c>
      <c r="F290" t="s">
        <v>912</v>
      </c>
      <c r="G290" t="s">
        <v>913</v>
      </c>
      <c r="H290" t="s">
        <v>914</v>
      </c>
      <c r="I290" t="s">
        <v>915</v>
      </c>
      <c r="J290" t="s">
        <v>103</v>
      </c>
      <c r="K290" t="s">
        <v>916</v>
      </c>
      <c r="L290" t="s">
        <v>91</v>
      </c>
      <c r="M290" t="s">
        <v>924</v>
      </c>
      <c r="N290" t="s">
        <v>925</v>
      </c>
      <c r="AG290" t="s">
        <v>791</v>
      </c>
      <c r="AH290" t="s">
        <v>792</v>
      </c>
      <c r="AI290" t="s">
        <v>353</v>
      </c>
      <c r="AJ290" t="s">
        <v>924</v>
      </c>
      <c r="AK290" s="1">
        <v>19448</v>
      </c>
      <c r="AL290" s="1">
        <v>0</v>
      </c>
      <c r="AM290" s="1">
        <v>19448</v>
      </c>
      <c r="AN290" s="1">
        <v>9724</v>
      </c>
      <c r="AO290" s="1">
        <v>0</v>
      </c>
      <c r="AP290" s="1">
        <v>9724</v>
      </c>
      <c r="AQ290" s="1">
        <v>-283</v>
      </c>
      <c r="AR290" s="1">
        <v>0</v>
      </c>
      <c r="AS290" s="1">
        <v>-283</v>
      </c>
      <c r="AT290" s="1">
        <v>0</v>
      </c>
      <c r="BA290" s="195"/>
      <c r="BB290" s="195"/>
      <c r="BC290" s="195"/>
      <c r="BD290" s="195"/>
      <c r="BE290" s="195"/>
      <c r="BF290" s="195"/>
      <c r="BG290" s="195"/>
      <c r="BH290" s="195"/>
      <c r="BI290" s="195"/>
    </row>
    <row r="291" spans="1:61" x14ac:dyDescent="0.25">
      <c r="A291" t="s">
        <v>343</v>
      </c>
      <c r="B291" t="s">
        <v>344</v>
      </c>
      <c r="C291" t="s">
        <v>910</v>
      </c>
      <c r="D291" t="s">
        <v>90</v>
      </c>
      <c r="E291" t="s">
        <v>911</v>
      </c>
      <c r="F291" t="s">
        <v>912</v>
      </c>
      <c r="G291" t="s">
        <v>913</v>
      </c>
      <c r="H291" t="s">
        <v>914</v>
      </c>
      <c r="I291" t="s">
        <v>915</v>
      </c>
      <c r="J291" t="s">
        <v>103</v>
      </c>
      <c r="K291" t="s">
        <v>916</v>
      </c>
      <c r="L291" t="s">
        <v>91</v>
      </c>
      <c r="M291" t="s">
        <v>926</v>
      </c>
      <c r="N291" t="s">
        <v>927</v>
      </c>
      <c r="AG291" t="s">
        <v>793</v>
      </c>
      <c r="AH291" t="s">
        <v>794</v>
      </c>
      <c r="AI291" t="s">
        <v>353</v>
      </c>
      <c r="AJ291" t="s">
        <v>926</v>
      </c>
      <c r="AK291" s="1">
        <v>25000</v>
      </c>
      <c r="AL291" s="1">
        <v>0</v>
      </c>
      <c r="AM291" s="1">
        <v>25000</v>
      </c>
      <c r="AN291" s="1">
        <v>12500</v>
      </c>
      <c r="AO291" s="1">
        <v>0</v>
      </c>
      <c r="AP291" s="1">
        <v>12500</v>
      </c>
      <c r="AQ291" s="1">
        <v>0</v>
      </c>
      <c r="AR291" s="1">
        <v>0</v>
      </c>
      <c r="AS291" s="1">
        <v>0</v>
      </c>
      <c r="AT291" s="1">
        <v>0</v>
      </c>
      <c r="BA291" s="195"/>
      <c r="BB291" s="195"/>
      <c r="BC291" s="195"/>
      <c r="BD291" s="195"/>
      <c r="BE291" s="195"/>
      <c r="BF291" s="195"/>
      <c r="BG291" s="195"/>
      <c r="BH291" s="195"/>
      <c r="BI291" s="195"/>
    </row>
    <row r="292" spans="1:61" x14ac:dyDescent="0.25">
      <c r="A292" t="s">
        <v>343</v>
      </c>
      <c r="B292" t="s">
        <v>344</v>
      </c>
      <c r="C292" t="s">
        <v>910</v>
      </c>
      <c r="D292" t="s">
        <v>90</v>
      </c>
      <c r="E292" t="s">
        <v>911</v>
      </c>
      <c r="F292" t="s">
        <v>912</v>
      </c>
      <c r="G292" t="s">
        <v>913</v>
      </c>
      <c r="H292" t="s">
        <v>914</v>
      </c>
      <c r="I292" t="s">
        <v>915</v>
      </c>
      <c r="J292" t="s">
        <v>103</v>
      </c>
      <c r="K292" t="s">
        <v>916</v>
      </c>
      <c r="L292" t="s">
        <v>91</v>
      </c>
      <c r="M292" t="s">
        <v>928</v>
      </c>
      <c r="N292" t="s">
        <v>929</v>
      </c>
      <c r="AG292" t="s">
        <v>809</v>
      </c>
      <c r="AH292" t="s">
        <v>810</v>
      </c>
      <c r="AI292" t="s">
        <v>353</v>
      </c>
      <c r="AJ292" t="s">
        <v>928</v>
      </c>
      <c r="AK292" s="1">
        <v>937408.5</v>
      </c>
      <c r="AL292" s="1">
        <v>0</v>
      </c>
      <c r="AM292" s="1">
        <v>937408.5</v>
      </c>
      <c r="AN292" s="1">
        <v>468704.25</v>
      </c>
      <c r="AO292" s="1">
        <v>0</v>
      </c>
      <c r="AP292" s="1">
        <v>468704.25</v>
      </c>
      <c r="AQ292" s="1">
        <v>531657.6</v>
      </c>
      <c r="AR292" s="1">
        <v>0</v>
      </c>
      <c r="AS292" s="1">
        <v>531657.6</v>
      </c>
      <c r="AT292" s="1">
        <v>0</v>
      </c>
      <c r="BA292" s="195"/>
      <c r="BB292" s="195"/>
      <c r="BC292" s="195"/>
      <c r="BD292" s="195"/>
      <c r="BE292" s="195"/>
      <c r="BF292" s="195"/>
      <c r="BG292" s="195"/>
      <c r="BH292" s="195"/>
      <c r="BI292" s="195"/>
    </row>
    <row r="293" spans="1:61" x14ac:dyDescent="0.25">
      <c r="A293" t="s">
        <v>343</v>
      </c>
      <c r="B293" t="s">
        <v>344</v>
      </c>
      <c r="C293" t="s">
        <v>910</v>
      </c>
      <c r="D293" t="s">
        <v>90</v>
      </c>
      <c r="E293" t="s">
        <v>911</v>
      </c>
      <c r="F293" t="s">
        <v>912</v>
      </c>
      <c r="G293" t="s">
        <v>913</v>
      </c>
      <c r="H293" t="s">
        <v>914</v>
      </c>
      <c r="I293" t="s">
        <v>915</v>
      </c>
      <c r="J293" t="s">
        <v>103</v>
      </c>
      <c r="K293" t="s">
        <v>916</v>
      </c>
      <c r="L293" t="s">
        <v>91</v>
      </c>
      <c r="M293" t="s">
        <v>928</v>
      </c>
      <c r="N293" t="s">
        <v>929</v>
      </c>
      <c r="AG293" t="s">
        <v>811</v>
      </c>
      <c r="AH293" t="s">
        <v>812</v>
      </c>
      <c r="AI293" t="s">
        <v>353</v>
      </c>
      <c r="AJ293" t="s">
        <v>928</v>
      </c>
      <c r="AK293" s="1">
        <v>6000</v>
      </c>
      <c r="AL293" s="1">
        <v>0</v>
      </c>
      <c r="AM293" s="1">
        <v>6000</v>
      </c>
      <c r="AN293" s="1">
        <v>3000</v>
      </c>
      <c r="AO293" s="1">
        <v>0</v>
      </c>
      <c r="AP293" s="1">
        <v>3000</v>
      </c>
      <c r="AQ293" s="1">
        <v>3048</v>
      </c>
      <c r="AR293" s="1">
        <v>0</v>
      </c>
      <c r="AS293" s="1">
        <v>3048</v>
      </c>
      <c r="AT293" s="1">
        <v>0</v>
      </c>
      <c r="BA293" s="195"/>
      <c r="BB293" s="195"/>
      <c r="BC293" s="195"/>
      <c r="BD293" s="195"/>
      <c r="BE293" s="195"/>
      <c r="BF293" s="195"/>
      <c r="BG293" s="195"/>
      <c r="BH293" s="195"/>
      <c r="BI293" s="195"/>
    </row>
    <row r="294" spans="1:61" x14ac:dyDescent="0.25">
      <c r="A294" t="s">
        <v>343</v>
      </c>
      <c r="B294" t="s">
        <v>344</v>
      </c>
      <c r="C294" t="s">
        <v>910</v>
      </c>
      <c r="D294" t="s">
        <v>90</v>
      </c>
      <c r="E294" t="s">
        <v>911</v>
      </c>
      <c r="F294" t="s">
        <v>912</v>
      </c>
      <c r="G294" t="s">
        <v>913</v>
      </c>
      <c r="H294" t="s">
        <v>914</v>
      </c>
      <c r="I294" t="s">
        <v>915</v>
      </c>
      <c r="J294" t="s">
        <v>103</v>
      </c>
      <c r="K294" t="s">
        <v>916</v>
      </c>
      <c r="L294" t="s">
        <v>91</v>
      </c>
      <c r="M294" t="s">
        <v>928</v>
      </c>
      <c r="N294" t="s">
        <v>929</v>
      </c>
      <c r="AG294" t="s">
        <v>813</v>
      </c>
      <c r="AH294" t="s">
        <v>814</v>
      </c>
      <c r="AI294" t="s">
        <v>353</v>
      </c>
      <c r="AJ294" t="s">
        <v>928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276.24</v>
      </c>
      <c r="AR294" s="1">
        <v>0</v>
      </c>
      <c r="AS294" s="1">
        <v>276.24</v>
      </c>
      <c r="AT294" s="1">
        <v>0</v>
      </c>
      <c r="BA294" s="195"/>
      <c r="BB294" s="195"/>
      <c r="BC294" s="195"/>
      <c r="BD294" s="195"/>
      <c r="BE294" s="195"/>
      <c r="BF294" s="195"/>
      <c r="BG294" s="195"/>
      <c r="BH294" s="195"/>
      <c r="BI294" s="195"/>
    </row>
    <row r="295" spans="1:61" x14ac:dyDescent="0.25">
      <c r="A295" t="s">
        <v>343</v>
      </c>
      <c r="B295" t="s">
        <v>344</v>
      </c>
      <c r="C295" t="s">
        <v>910</v>
      </c>
      <c r="D295" t="s">
        <v>90</v>
      </c>
      <c r="E295" t="s">
        <v>911</v>
      </c>
      <c r="F295" t="s">
        <v>912</v>
      </c>
      <c r="G295" t="s">
        <v>913</v>
      </c>
      <c r="H295" t="s">
        <v>914</v>
      </c>
      <c r="I295" t="s">
        <v>915</v>
      </c>
      <c r="J295" t="s">
        <v>103</v>
      </c>
      <c r="K295" t="s">
        <v>916</v>
      </c>
      <c r="L295" t="s">
        <v>91</v>
      </c>
      <c r="M295" t="s">
        <v>928</v>
      </c>
      <c r="N295" t="s">
        <v>929</v>
      </c>
      <c r="AG295" t="s">
        <v>815</v>
      </c>
      <c r="AH295" t="s">
        <v>816</v>
      </c>
      <c r="AI295" t="s">
        <v>353</v>
      </c>
      <c r="AJ295" t="s">
        <v>928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3126.14</v>
      </c>
      <c r="AR295" s="1">
        <v>0</v>
      </c>
      <c r="AS295" s="1">
        <v>3126.14</v>
      </c>
      <c r="AT295" s="1">
        <v>0</v>
      </c>
      <c r="BA295" s="195"/>
      <c r="BB295" s="195"/>
      <c r="BC295" s="195"/>
      <c r="BD295" s="195"/>
      <c r="BE295" s="195"/>
      <c r="BF295" s="195"/>
      <c r="BG295" s="195"/>
      <c r="BH295" s="195"/>
      <c r="BI295" s="195"/>
    </row>
    <row r="296" spans="1:61" x14ac:dyDescent="0.25">
      <c r="A296" t="s">
        <v>343</v>
      </c>
      <c r="B296" t="s">
        <v>344</v>
      </c>
      <c r="C296" t="s">
        <v>910</v>
      </c>
      <c r="D296" t="s">
        <v>90</v>
      </c>
      <c r="E296" t="s">
        <v>911</v>
      </c>
      <c r="F296" t="s">
        <v>912</v>
      </c>
      <c r="G296" t="s">
        <v>913</v>
      </c>
      <c r="H296" t="s">
        <v>914</v>
      </c>
      <c r="I296" t="s">
        <v>915</v>
      </c>
      <c r="J296" t="s">
        <v>103</v>
      </c>
      <c r="K296" t="s">
        <v>916</v>
      </c>
      <c r="L296" t="s">
        <v>91</v>
      </c>
      <c r="M296" t="s">
        <v>928</v>
      </c>
      <c r="N296" t="s">
        <v>929</v>
      </c>
      <c r="AG296" t="s">
        <v>817</v>
      </c>
      <c r="AH296" t="s">
        <v>818</v>
      </c>
      <c r="AI296" t="s">
        <v>353</v>
      </c>
      <c r="AJ296" t="s">
        <v>928</v>
      </c>
      <c r="AK296" s="1">
        <v>14677.4</v>
      </c>
      <c r="AL296" s="1">
        <v>0</v>
      </c>
      <c r="AM296" s="1">
        <v>14677.4</v>
      </c>
      <c r="AN296" s="1">
        <v>7338.7</v>
      </c>
      <c r="AO296" s="1">
        <v>0</v>
      </c>
      <c r="AP296" s="1">
        <v>7338.7</v>
      </c>
      <c r="AQ296" s="1">
        <v>34725.339999999997</v>
      </c>
      <c r="AR296" s="1">
        <v>0</v>
      </c>
      <c r="AS296" s="1">
        <v>34725.339999999997</v>
      </c>
      <c r="AT296" s="1">
        <v>0</v>
      </c>
      <c r="BA296" s="195"/>
      <c r="BB296" s="195"/>
      <c r="BC296" s="195"/>
      <c r="BD296" s="195"/>
      <c r="BE296" s="195"/>
      <c r="BF296" s="195"/>
      <c r="BG296" s="195"/>
      <c r="BH296" s="195"/>
      <c r="BI296" s="195"/>
    </row>
    <row r="297" spans="1:61" x14ac:dyDescent="0.25">
      <c r="A297" t="s">
        <v>343</v>
      </c>
      <c r="B297" t="s">
        <v>344</v>
      </c>
      <c r="C297" t="s">
        <v>910</v>
      </c>
      <c r="D297" t="s">
        <v>90</v>
      </c>
      <c r="E297" t="s">
        <v>911</v>
      </c>
      <c r="F297" t="s">
        <v>912</v>
      </c>
      <c r="G297" t="s">
        <v>913</v>
      </c>
      <c r="H297" t="s">
        <v>914</v>
      </c>
      <c r="I297" t="s">
        <v>915</v>
      </c>
      <c r="J297" t="s">
        <v>103</v>
      </c>
      <c r="K297" t="s">
        <v>916</v>
      </c>
      <c r="L297" t="s">
        <v>91</v>
      </c>
      <c r="M297" t="s">
        <v>928</v>
      </c>
      <c r="N297" t="s">
        <v>929</v>
      </c>
      <c r="AG297" t="s">
        <v>819</v>
      </c>
      <c r="AH297" t="s">
        <v>820</v>
      </c>
      <c r="AI297" t="s">
        <v>353</v>
      </c>
      <c r="AJ297" t="s">
        <v>928</v>
      </c>
      <c r="AK297" s="1">
        <v>12734</v>
      </c>
      <c r="AL297" s="1">
        <v>0</v>
      </c>
      <c r="AM297" s="1">
        <v>12734</v>
      </c>
      <c r="AN297" s="1">
        <v>6367</v>
      </c>
      <c r="AO297" s="1">
        <v>0</v>
      </c>
      <c r="AP297" s="1">
        <v>6367</v>
      </c>
      <c r="AQ297" s="1">
        <v>10932</v>
      </c>
      <c r="AR297" s="1">
        <v>0</v>
      </c>
      <c r="AS297" s="1">
        <v>10932</v>
      </c>
      <c r="AT297" s="1">
        <v>0</v>
      </c>
      <c r="BA297" s="195"/>
      <c r="BB297" s="195"/>
      <c r="BC297" s="195"/>
      <c r="BD297" s="195"/>
      <c r="BE297" s="195"/>
      <c r="BF297" s="195"/>
      <c r="BG297" s="195"/>
      <c r="BH297" s="195"/>
      <c r="BI297" s="195"/>
    </row>
    <row r="298" spans="1:61" x14ac:dyDescent="0.25">
      <c r="A298" t="s">
        <v>343</v>
      </c>
      <c r="B298" t="s">
        <v>344</v>
      </c>
      <c r="C298" t="s">
        <v>910</v>
      </c>
      <c r="D298" t="s">
        <v>90</v>
      </c>
      <c r="E298" t="s">
        <v>911</v>
      </c>
      <c r="F298" t="s">
        <v>912</v>
      </c>
      <c r="G298" t="s">
        <v>913</v>
      </c>
      <c r="H298" t="s">
        <v>914</v>
      </c>
      <c r="I298" t="s">
        <v>915</v>
      </c>
      <c r="J298" t="s">
        <v>103</v>
      </c>
      <c r="K298" t="s">
        <v>916</v>
      </c>
      <c r="L298" t="s">
        <v>91</v>
      </c>
      <c r="M298" t="s">
        <v>930</v>
      </c>
      <c r="N298" t="s">
        <v>96</v>
      </c>
      <c r="AG298" t="s">
        <v>795</v>
      </c>
      <c r="AH298" t="s">
        <v>796</v>
      </c>
      <c r="AI298" t="s">
        <v>353</v>
      </c>
      <c r="AJ298" t="s">
        <v>930</v>
      </c>
      <c r="AK298" s="1">
        <v>76.72</v>
      </c>
      <c r="AL298" s="1">
        <v>0</v>
      </c>
      <c r="AM298" s="1">
        <v>76.72</v>
      </c>
      <c r="AN298" s="1">
        <v>38.36</v>
      </c>
      <c r="AO298" s="1">
        <v>0</v>
      </c>
      <c r="AP298" s="1">
        <v>38.36</v>
      </c>
      <c r="AQ298" s="1">
        <v>2912.94</v>
      </c>
      <c r="AR298" s="1">
        <v>0</v>
      </c>
      <c r="AS298" s="1">
        <v>2912.94</v>
      </c>
      <c r="AT298" s="1">
        <v>0</v>
      </c>
      <c r="BA298" s="195"/>
      <c r="BB298" s="195"/>
      <c r="BC298" s="195"/>
      <c r="BD298" s="195"/>
      <c r="BE298" s="195"/>
      <c r="BF298" s="195"/>
      <c r="BG298" s="195"/>
      <c r="BH298" s="195"/>
      <c r="BI298" s="195"/>
    </row>
    <row r="299" spans="1:61" x14ac:dyDescent="0.25">
      <c r="A299" t="s">
        <v>343</v>
      </c>
      <c r="B299" t="s">
        <v>344</v>
      </c>
      <c r="C299" t="s">
        <v>910</v>
      </c>
      <c r="D299" t="s">
        <v>90</v>
      </c>
      <c r="E299" t="s">
        <v>911</v>
      </c>
      <c r="F299" t="s">
        <v>912</v>
      </c>
      <c r="G299" t="s">
        <v>913</v>
      </c>
      <c r="H299" t="s">
        <v>914</v>
      </c>
      <c r="I299" t="s">
        <v>915</v>
      </c>
      <c r="J299" t="s">
        <v>103</v>
      </c>
      <c r="K299" t="s">
        <v>931</v>
      </c>
      <c r="L299" t="s">
        <v>97</v>
      </c>
      <c r="M299" t="s">
        <v>932</v>
      </c>
      <c r="N299" t="s">
        <v>98</v>
      </c>
      <c r="AG299" t="s">
        <v>532</v>
      </c>
      <c r="AH299" t="s">
        <v>533</v>
      </c>
      <c r="AI299" t="s">
        <v>353</v>
      </c>
      <c r="AJ299" t="s">
        <v>932</v>
      </c>
      <c r="AK299" s="1">
        <v>180000</v>
      </c>
      <c r="AL299" s="1">
        <v>0</v>
      </c>
      <c r="AM299" s="1">
        <v>180000</v>
      </c>
      <c r="AN299" s="1">
        <v>112522.75</v>
      </c>
      <c r="AO299" s="1">
        <v>0</v>
      </c>
      <c r="AP299" s="1">
        <v>112522.75</v>
      </c>
      <c r="AQ299" s="1">
        <v>187623.55</v>
      </c>
      <c r="AR299" s="1">
        <v>0</v>
      </c>
      <c r="AS299" s="1">
        <v>187623.55</v>
      </c>
      <c r="AT299" s="1">
        <v>0</v>
      </c>
      <c r="BA299" s="195"/>
      <c r="BB299" s="195"/>
      <c r="BC299" s="195"/>
      <c r="BD299" s="195"/>
      <c r="BE299" s="195"/>
      <c r="BF299" s="195"/>
      <c r="BG299" s="195"/>
      <c r="BH299" s="195"/>
      <c r="BI299" s="195"/>
    </row>
    <row r="300" spans="1:61" x14ac:dyDescent="0.25">
      <c r="A300" t="s">
        <v>343</v>
      </c>
      <c r="B300" t="s">
        <v>344</v>
      </c>
      <c r="C300" t="s">
        <v>910</v>
      </c>
      <c r="D300" t="s">
        <v>90</v>
      </c>
      <c r="E300" t="s">
        <v>911</v>
      </c>
      <c r="F300" t="s">
        <v>912</v>
      </c>
      <c r="G300" t="s">
        <v>913</v>
      </c>
      <c r="H300" t="s">
        <v>914</v>
      </c>
      <c r="I300" t="s">
        <v>915</v>
      </c>
      <c r="J300" t="s">
        <v>103</v>
      </c>
      <c r="K300" t="s">
        <v>931</v>
      </c>
      <c r="L300" t="s">
        <v>97</v>
      </c>
      <c r="M300" t="s">
        <v>932</v>
      </c>
      <c r="N300" t="s">
        <v>98</v>
      </c>
      <c r="AG300" t="s">
        <v>534</v>
      </c>
      <c r="AH300" t="s">
        <v>535</v>
      </c>
      <c r="AI300" t="s">
        <v>353</v>
      </c>
      <c r="AJ300" t="s">
        <v>932</v>
      </c>
      <c r="AK300" s="1">
        <v>520</v>
      </c>
      <c r="AL300" s="1">
        <v>0</v>
      </c>
      <c r="AM300" s="1">
        <v>520</v>
      </c>
      <c r="AN300" s="1">
        <v>260</v>
      </c>
      <c r="AO300" s="1">
        <v>0</v>
      </c>
      <c r="AP300" s="1">
        <v>260</v>
      </c>
      <c r="AQ300" s="1">
        <v>0</v>
      </c>
      <c r="AR300" s="1">
        <v>0</v>
      </c>
      <c r="AS300" s="1">
        <v>0</v>
      </c>
      <c r="AT300" s="1">
        <v>0</v>
      </c>
      <c r="BA300" s="195"/>
      <c r="BB300" s="195"/>
      <c r="BC300" s="195"/>
      <c r="BD300" s="195"/>
      <c r="BE300" s="195"/>
      <c r="BF300" s="195"/>
      <c r="BG300" s="195"/>
      <c r="BH300" s="195"/>
      <c r="BI300" s="195"/>
    </row>
    <row r="301" spans="1:61" x14ac:dyDescent="0.25">
      <c r="A301" t="s">
        <v>343</v>
      </c>
      <c r="B301" t="s">
        <v>344</v>
      </c>
      <c r="C301" t="s">
        <v>910</v>
      </c>
      <c r="D301" t="s">
        <v>90</v>
      </c>
      <c r="E301" t="s">
        <v>911</v>
      </c>
      <c r="F301" t="s">
        <v>912</v>
      </c>
      <c r="G301" t="s">
        <v>913</v>
      </c>
      <c r="H301" t="s">
        <v>914</v>
      </c>
      <c r="I301" t="s">
        <v>915</v>
      </c>
      <c r="J301" t="s">
        <v>103</v>
      </c>
      <c r="K301" t="s">
        <v>931</v>
      </c>
      <c r="L301" t="s">
        <v>97</v>
      </c>
      <c r="M301" t="s">
        <v>932</v>
      </c>
      <c r="N301" t="s">
        <v>98</v>
      </c>
      <c r="AG301" t="s">
        <v>536</v>
      </c>
      <c r="AH301" t="s">
        <v>537</v>
      </c>
      <c r="AI301" t="s">
        <v>353</v>
      </c>
      <c r="AJ301" t="s">
        <v>932</v>
      </c>
      <c r="AK301" s="1">
        <v>189903.78</v>
      </c>
      <c r="AL301" s="1">
        <v>0</v>
      </c>
      <c r="AM301" s="1">
        <v>189903.78</v>
      </c>
      <c r="AN301" s="1">
        <v>94951.89</v>
      </c>
      <c r="AO301" s="1">
        <v>0</v>
      </c>
      <c r="AP301" s="1">
        <v>94951.89</v>
      </c>
      <c r="AQ301" s="1">
        <v>136165.82</v>
      </c>
      <c r="AR301" s="1">
        <v>0</v>
      </c>
      <c r="AS301" s="1">
        <v>136165.82</v>
      </c>
      <c r="AT301" s="1">
        <v>0</v>
      </c>
      <c r="BA301" s="195"/>
      <c r="BB301" s="195"/>
      <c r="BC301" s="195"/>
      <c r="BD301" s="195"/>
      <c r="BE301" s="195"/>
      <c r="BF301" s="195"/>
      <c r="BG301" s="195"/>
      <c r="BH301" s="195"/>
      <c r="BI301" s="195"/>
    </row>
    <row r="302" spans="1:61" x14ac:dyDescent="0.25">
      <c r="A302" t="s">
        <v>343</v>
      </c>
      <c r="B302" t="s">
        <v>344</v>
      </c>
      <c r="C302" t="s">
        <v>910</v>
      </c>
      <c r="D302" t="s">
        <v>90</v>
      </c>
      <c r="E302" t="s">
        <v>911</v>
      </c>
      <c r="F302" t="s">
        <v>912</v>
      </c>
      <c r="G302" t="s">
        <v>913</v>
      </c>
      <c r="H302" t="s">
        <v>914</v>
      </c>
      <c r="I302" t="s">
        <v>915</v>
      </c>
      <c r="J302" t="s">
        <v>103</v>
      </c>
      <c r="K302" t="s">
        <v>931</v>
      </c>
      <c r="L302" t="s">
        <v>97</v>
      </c>
      <c r="M302" t="s">
        <v>932</v>
      </c>
      <c r="N302" t="s">
        <v>98</v>
      </c>
      <c r="AG302" t="s">
        <v>538</v>
      </c>
      <c r="AH302" t="s">
        <v>539</v>
      </c>
      <c r="AI302" t="s">
        <v>353</v>
      </c>
      <c r="AJ302" t="s">
        <v>932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2354.5</v>
      </c>
      <c r="AR302" s="1">
        <v>0</v>
      </c>
      <c r="AS302" s="1">
        <v>2354.5</v>
      </c>
      <c r="AT302" s="1">
        <v>0</v>
      </c>
      <c r="BA302" s="195"/>
      <c r="BB302" s="195"/>
      <c r="BC302" s="195"/>
      <c r="BD302" s="195"/>
      <c r="BE302" s="195"/>
      <c r="BF302" s="195"/>
      <c r="BG302" s="195"/>
      <c r="BH302" s="195"/>
      <c r="BI302" s="195"/>
    </row>
    <row r="303" spans="1:61" x14ac:dyDescent="0.25">
      <c r="A303" t="s">
        <v>343</v>
      </c>
      <c r="B303" t="s">
        <v>344</v>
      </c>
      <c r="C303" t="s">
        <v>910</v>
      </c>
      <c r="D303" t="s">
        <v>90</v>
      </c>
      <c r="E303" t="s">
        <v>911</v>
      </c>
      <c r="F303" t="s">
        <v>912</v>
      </c>
      <c r="G303" t="s">
        <v>913</v>
      </c>
      <c r="H303" t="s">
        <v>914</v>
      </c>
      <c r="I303" t="s">
        <v>915</v>
      </c>
      <c r="J303" t="s">
        <v>103</v>
      </c>
      <c r="K303" t="s">
        <v>931</v>
      </c>
      <c r="L303" t="s">
        <v>97</v>
      </c>
      <c r="M303" t="s">
        <v>932</v>
      </c>
      <c r="N303" t="s">
        <v>98</v>
      </c>
      <c r="AG303" t="s">
        <v>540</v>
      </c>
      <c r="AH303" t="s">
        <v>541</v>
      </c>
      <c r="AI303" t="s">
        <v>353</v>
      </c>
      <c r="AJ303" t="s">
        <v>932</v>
      </c>
      <c r="AK303" s="1">
        <v>1420.28</v>
      </c>
      <c r="AL303" s="1">
        <v>0</v>
      </c>
      <c r="AM303" s="1">
        <v>1420.28</v>
      </c>
      <c r="AN303" s="1">
        <v>710.14</v>
      </c>
      <c r="AO303" s="1">
        <v>0</v>
      </c>
      <c r="AP303" s="1">
        <v>710.14</v>
      </c>
      <c r="AQ303" s="1">
        <v>0</v>
      </c>
      <c r="AR303" s="1">
        <v>0</v>
      </c>
      <c r="AS303" s="1">
        <v>0</v>
      </c>
      <c r="AT303" s="1">
        <v>0</v>
      </c>
      <c r="BA303" s="195"/>
      <c r="BB303" s="195"/>
      <c r="BC303" s="195"/>
      <c r="BD303" s="195"/>
      <c r="BE303" s="195"/>
      <c r="BF303" s="195"/>
      <c r="BG303" s="195"/>
      <c r="BH303" s="195"/>
      <c r="BI303" s="195"/>
    </row>
    <row r="304" spans="1:61" x14ac:dyDescent="0.25">
      <c r="A304" t="s">
        <v>343</v>
      </c>
      <c r="B304" t="s">
        <v>344</v>
      </c>
      <c r="C304" t="s">
        <v>910</v>
      </c>
      <c r="D304" t="s">
        <v>90</v>
      </c>
      <c r="E304" t="s">
        <v>911</v>
      </c>
      <c r="F304" t="s">
        <v>912</v>
      </c>
      <c r="G304" t="s">
        <v>913</v>
      </c>
      <c r="H304" t="s">
        <v>914</v>
      </c>
      <c r="I304" t="s">
        <v>915</v>
      </c>
      <c r="J304" t="s">
        <v>103</v>
      </c>
      <c r="K304" t="s">
        <v>931</v>
      </c>
      <c r="L304" t="s">
        <v>97</v>
      </c>
      <c r="M304" t="s">
        <v>933</v>
      </c>
      <c r="N304" t="s">
        <v>934</v>
      </c>
      <c r="AG304" t="s">
        <v>508</v>
      </c>
      <c r="AH304" t="s">
        <v>509</v>
      </c>
      <c r="AI304" t="s">
        <v>353</v>
      </c>
      <c r="AJ304" t="s">
        <v>933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330</v>
      </c>
      <c r="AR304" s="1">
        <v>0</v>
      </c>
      <c r="AS304" s="1">
        <v>330</v>
      </c>
      <c r="AT304" s="1">
        <v>0</v>
      </c>
      <c r="BA304" s="195"/>
      <c r="BB304" s="195"/>
      <c r="BC304" s="195"/>
      <c r="BD304" s="195"/>
      <c r="BE304" s="195"/>
      <c r="BF304" s="195"/>
      <c r="BG304" s="195"/>
      <c r="BH304" s="195"/>
      <c r="BI304" s="195"/>
    </row>
    <row r="305" spans="1:61" x14ac:dyDescent="0.25">
      <c r="A305" t="s">
        <v>343</v>
      </c>
      <c r="B305" t="s">
        <v>344</v>
      </c>
      <c r="C305" t="s">
        <v>910</v>
      </c>
      <c r="D305" t="s">
        <v>90</v>
      </c>
      <c r="E305" t="s">
        <v>911</v>
      </c>
      <c r="F305" t="s">
        <v>912</v>
      </c>
      <c r="G305" t="s">
        <v>913</v>
      </c>
      <c r="H305" t="s">
        <v>914</v>
      </c>
      <c r="I305" t="s">
        <v>915</v>
      </c>
      <c r="J305" t="s">
        <v>103</v>
      </c>
      <c r="K305" t="s">
        <v>931</v>
      </c>
      <c r="L305" t="s">
        <v>97</v>
      </c>
      <c r="M305" t="s">
        <v>933</v>
      </c>
      <c r="N305" t="s">
        <v>934</v>
      </c>
      <c r="AG305" t="s">
        <v>510</v>
      </c>
      <c r="AH305" t="s">
        <v>511</v>
      </c>
      <c r="AI305" t="s">
        <v>353</v>
      </c>
      <c r="AJ305" t="s">
        <v>933</v>
      </c>
      <c r="AK305" s="1">
        <v>1178</v>
      </c>
      <c r="AL305" s="1">
        <v>0</v>
      </c>
      <c r="AM305" s="1">
        <v>1178</v>
      </c>
      <c r="AN305" s="1">
        <v>40273.019999999997</v>
      </c>
      <c r="AO305" s="1">
        <v>0</v>
      </c>
      <c r="AP305" s="1">
        <v>40273.019999999997</v>
      </c>
      <c r="AQ305" s="1">
        <v>28364.67</v>
      </c>
      <c r="AR305" s="1">
        <v>0</v>
      </c>
      <c r="AS305" s="1">
        <v>28364.67</v>
      </c>
      <c r="AT305" s="1">
        <v>0</v>
      </c>
      <c r="BA305" s="195"/>
      <c r="BB305" s="195"/>
      <c r="BC305" s="195"/>
      <c r="BD305" s="195"/>
      <c r="BE305" s="195"/>
      <c r="BF305" s="195"/>
      <c r="BG305" s="195"/>
      <c r="BH305" s="195"/>
      <c r="BI305" s="195"/>
    </row>
    <row r="306" spans="1:61" x14ac:dyDescent="0.25">
      <c r="A306" t="s">
        <v>343</v>
      </c>
      <c r="B306" t="s">
        <v>344</v>
      </c>
      <c r="C306" t="s">
        <v>910</v>
      </c>
      <c r="D306" t="s">
        <v>90</v>
      </c>
      <c r="E306" t="s">
        <v>911</v>
      </c>
      <c r="F306" t="s">
        <v>912</v>
      </c>
      <c r="G306" t="s">
        <v>913</v>
      </c>
      <c r="H306" t="s">
        <v>914</v>
      </c>
      <c r="I306" t="s">
        <v>915</v>
      </c>
      <c r="J306" t="s">
        <v>103</v>
      </c>
      <c r="K306" t="s">
        <v>931</v>
      </c>
      <c r="L306" t="s">
        <v>97</v>
      </c>
      <c r="M306" t="s">
        <v>935</v>
      </c>
      <c r="N306" t="s">
        <v>936</v>
      </c>
      <c r="AG306" t="s">
        <v>542</v>
      </c>
      <c r="AH306" t="s">
        <v>541</v>
      </c>
      <c r="AI306" t="s">
        <v>353</v>
      </c>
      <c r="AJ306" t="s">
        <v>935</v>
      </c>
      <c r="AK306" s="1">
        <v>1223.3399999999999</v>
      </c>
      <c r="AL306" s="1">
        <v>0</v>
      </c>
      <c r="AM306" s="1">
        <v>1223.3399999999999</v>
      </c>
      <c r="AN306" s="1">
        <v>611.66999999999996</v>
      </c>
      <c r="AO306" s="1">
        <v>0</v>
      </c>
      <c r="AP306" s="1">
        <v>611.66999999999996</v>
      </c>
      <c r="AQ306" s="1">
        <v>1626.76</v>
      </c>
      <c r="AR306" s="1">
        <v>0</v>
      </c>
      <c r="AS306" s="1">
        <v>1626.76</v>
      </c>
      <c r="AT306" s="1">
        <v>0</v>
      </c>
      <c r="BA306" s="195"/>
      <c r="BB306" s="195"/>
      <c r="BC306" s="195"/>
      <c r="BD306" s="195"/>
      <c r="BE306" s="195"/>
      <c r="BF306" s="195"/>
      <c r="BG306" s="195"/>
      <c r="BH306" s="195"/>
      <c r="BI306" s="195"/>
    </row>
    <row r="307" spans="1:61" x14ac:dyDescent="0.25">
      <c r="A307" t="s">
        <v>343</v>
      </c>
      <c r="B307" t="s">
        <v>344</v>
      </c>
      <c r="C307" t="s">
        <v>910</v>
      </c>
      <c r="D307" t="s">
        <v>90</v>
      </c>
      <c r="E307" t="s">
        <v>911</v>
      </c>
      <c r="F307" t="s">
        <v>912</v>
      </c>
      <c r="G307" t="s">
        <v>913</v>
      </c>
      <c r="H307" t="s">
        <v>914</v>
      </c>
      <c r="I307" t="s">
        <v>915</v>
      </c>
      <c r="J307" t="s">
        <v>103</v>
      </c>
      <c r="K307" t="s">
        <v>931</v>
      </c>
      <c r="L307" t="s">
        <v>97</v>
      </c>
      <c r="M307" t="s">
        <v>937</v>
      </c>
      <c r="N307" t="s">
        <v>938</v>
      </c>
      <c r="AG307" t="s">
        <v>512</v>
      </c>
      <c r="AH307" t="s">
        <v>513</v>
      </c>
      <c r="AI307" t="s">
        <v>353</v>
      </c>
      <c r="AJ307" t="s">
        <v>937</v>
      </c>
      <c r="AK307" s="1">
        <v>72710</v>
      </c>
      <c r="AL307" s="1">
        <v>0</v>
      </c>
      <c r="AM307" s="1">
        <v>72710</v>
      </c>
      <c r="AN307" s="1">
        <v>36355</v>
      </c>
      <c r="AO307" s="1">
        <v>0</v>
      </c>
      <c r="AP307" s="1">
        <v>36355</v>
      </c>
      <c r="AQ307" s="1">
        <v>133914.34</v>
      </c>
      <c r="AR307" s="1">
        <v>0</v>
      </c>
      <c r="AS307" s="1">
        <v>133914.34</v>
      </c>
      <c r="AT307" s="1">
        <v>0</v>
      </c>
      <c r="BA307" s="195"/>
      <c r="BB307" s="195"/>
      <c r="BC307" s="195"/>
      <c r="BD307" s="195"/>
      <c r="BE307" s="195"/>
      <c r="BF307" s="195"/>
      <c r="BG307" s="195"/>
      <c r="BH307" s="195"/>
      <c r="BI307" s="195"/>
    </row>
    <row r="308" spans="1:61" x14ac:dyDescent="0.25">
      <c r="A308" t="s">
        <v>343</v>
      </c>
      <c r="B308" t="s">
        <v>344</v>
      </c>
      <c r="C308" t="s">
        <v>910</v>
      </c>
      <c r="D308" t="s">
        <v>90</v>
      </c>
      <c r="E308" t="s">
        <v>911</v>
      </c>
      <c r="F308" t="s">
        <v>912</v>
      </c>
      <c r="G308" t="s">
        <v>913</v>
      </c>
      <c r="H308" t="s">
        <v>914</v>
      </c>
      <c r="I308" t="s">
        <v>915</v>
      </c>
      <c r="J308" t="s">
        <v>103</v>
      </c>
      <c r="K308" t="s">
        <v>931</v>
      </c>
      <c r="L308" t="s">
        <v>97</v>
      </c>
      <c r="M308" t="s">
        <v>937</v>
      </c>
      <c r="N308" t="s">
        <v>938</v>
      </c>
      <c r="AG308" t="s">
        <v>514</v>
      </c>
      <c r="AH308" t="s">
        <v>515</v>
      </c>
      <c r="AI308" t="s">
        <v>353</v>
      </c>
      <c r="AJ308" t="s">
        <v>937</v>
      </c>
      <c r="AK308" s="1">
        <v>6789.34</v>
      </c>
      <c r="AL308" s="1">
        <v>0</v>
      </c>
      <c r="AM308" s="1">
        <v>6789.34</v>
      </c>
      <c r="AN308" s="1">
        <v>3394.67</v>
      </c>
      <c r="AO308" s="1">
        <v>0</v>
      </c>
      <c r="AP308" s="1">
        <v>3394.67</v>
      </c>
      <c r="AQ308" s="1">
        <v>10788.15</v>
      </c>
      <c r="AR308" s="1">
        <v>0</v>
      </c>
      <c r="AS308" s="1">
        <v>10788.15</v>
      </c>
      <c r="AT308" s="1">
        <v>0</v>
      </c>
      <c r="BA308" s="195"/>
      <c r="BB308" s="195"/>
      <c r="BC308" s="195"/>
      <c r="BD308" s="195"/>
      <c r="BE308" s="195"/>
      <c r="BF308" s="195"/>
      <c r="BG308" s="195"/>
      <c r="BH308" s="195"/>
      <c r="BI308" s="195"/>
    </row>
    <row r="309" spans="1:61" x14ac:dyDescent="0.25">
      <c r="A309" t="s">
        <v>343</v>
      </c>
      <c r="B309" t="s">
        <v>344</v>
      </c>
      <c r="C309" t="s">
        <v>910</v>
      </c>
      <c r="D309" t="s">
        <v>90</v>
      </c>
      <c r="E309" t="s">
        <v>911</v>
      </c>
      <c r="F309" t="s">
        <v>912</v>
      </c>
      <c r="G309" t="s">
        <v>913</v>
      </c>
      <c r="H309" t="s">
        <v>914</v>
      </c>
      <c r="I309" t="s">
        <v>915</v>
      </c>
      <c r="J309" t="s">
        <v>103</v>
      </c>
      <c r="K309" t="s">
        <v>931</v>
      </c>
      <c r="L309" t="s">
        <v>97</v>
      </c>
      <c r="M309" t="s">
        <v>937</v>
      </c>
      <c r="N309" t="s">
        <v>938</v>
      </c>
      <c r="AG309" t="s">
        <v>516</v>
      </c>
      <c r="AH309" t="s">
        <v>517</v>
      </c>
      <c r="AI309" t="s">
        <v>353</v>
      </c>
      <c r="AJ309" t="s">
        <v>937</v>
      </c>
      <c r="AK309" s="1">
        <v>180000</v>
      </c>
      <c r="AL309" s="1">
        <v>0</v>
      </c>
      <c r="AM309" s="1">
        <v>180000</v>
      </c>
      <c r="AN309" s="1">
        <v>82617.710000000006</v>
      </c>
      <c r="AO309" s="1">
        <v>0</v>
      </c>
      <c r="AP309" s="1">
        <v>82617.710000000006</v>
      </c>
      <c r="AQ309" s="1">
        <v>100386.55</v>
      </c>
      <c r="AR309" s="1">
        <v>0</v>
      </c>
      <c r="AS309" s="1">
        <v>100386.55</v>
      </c>
      <c r="AT309" s="1">
        <v>0</v>
      </c>
      <c r="BA309" s="195"/>
      <c r="BB309" s="195"/>
      <c r="BC309" s="195"/>
      <c r="BD309" s="195"/>
      <c r="BE309" s="195"/>
      <c r="BF309" s="195"/>
      <c r="BG309" s="195"/>
      <c r="BH309" s="195"/>
      <c r="BI309" s="195"/>
    </row>
    <row r="310" spans="1:61" x14ac:dyDescent="0.25">
      <c r="A310" t="s">
        <v>343</v>
      </c>
      <c r="B310" t="s">
        <v>344</v>
      </c>
      <c r="C310" t="s">
        <v>910</v>
      </c>
      <c r="D310" t="s">
        <v>90</v>
      </c>
      <c r="E310" t="s">
        <v>911</v>
      </c>
      <c r="F310" t="s">
        <v>912</v>
      </c>
      <c r="G310" t="s">
        <v>913</v>
      </c>
      <c r="H310" t="s">
        <v>914</v>
      </c>
      <c r="I310" t="s">
        <v>915</v>
      </c>
      <c r="J310" t="s">
        <v>103</v>
      </c>
      <c r="K310" t="s">
        <v>931</v>
      </c>
      <c r="L310" t="s">
        <v>97</v>
      </c>
      <c r="M310" t="s">
        <v>937</v>
      </c>
      <c r="N310" t="s">
        <v>938</v>
      </c>
      <c r="AG310" t="s">
        <v>518</v>
      </c>
      <c r="AH310" t="s">
        <v>519</v>
      </c>
      <c r="AI310" t="s">
        <v>353</v>
      </c>
      <c r="AJ310" t="s">
        <v>937</v>
      </c>
      <c r="AK310" s="1">
        <v>21958.02</v>
      </c>
      <c r="AL310" s="1">
        <v>0</v>
      </c>
      <c r="AM310" s="1">
        <v>21958.02</v>
      </c>
      <c r="AN310" s="1">
        <v>10979.01</v>
      </c>
      <c r="AO310" s="1">
        <v>0</v>
      </c>
      <c r="AP310" s="1">
        <v>10979.01</v>
      </c>
      <c r="AQ310" s="1">
        <v>10717.21</v>
      </c>
      <c r="AR310" s="1">
        <v>0</v>
      </c>
      <c r="AS310" s="1">
        <v>10717.21</v>
      </c>
      <c r="AT310" s="1">
        <v>0</v>
      </c>
      <c r="BA310" s="195"/>
      <c r="BB310" s="195"/>
      <c r="BC310" s="195"/>
      <c r="BD310" s="195"/>
      <c r="BE310" s="195"/>
      <c r="BF310" s="195"/>
      <c r="BG310" s="195"/>
      <c r="BH310" s="195"/>
      <c r="BI310" s="195"/>
    </row>
    <row r="311" spans="1:61" x14ac:dyDescent="0.25">
      <c r="A311" t="s">
        <v>343</v>
      </c>
      <c r="B311" t="s">
        <v>344</v>
      </c>
      <c r="C311" t="s">
        <v>910</v>
      </c>
      <c r="D311" t="s">
        <v>90</v>
      </c>
      <c r="E311" t="s">
        <v>911</v>
      </c>
      <c r="F311" t="s">
        <v>912</v>
      </c>
      <c r="G311" t="s">
        <v>913</v>
      </c>
      <c r="H311" t="s">
        <v>914</v>
      </c>
      <c r="I311" t="s">
        <v>915</v>
      </c>
      <c r="J311" t="s">
        <v>103</v>
      </c>
      <c r="K311" t="s">
        <v>931</v>
      </c>
      <c r="L311" t="s">
        <v>97</v>
      </c>
      <c r="M311" t="s">
        <v>937</v>
      </c>
      <c r="N311" t="s">
        <v>938</v>
      </c>
      <c r="AG311" t="s">
        <v>520</v>
      </c>
      <c r="AH311" t="s">
        <v>521</v>
      </c>
      <c r="AI311" t="s">
        <v>353</v>
      </c>
      <c r="AJ311" t="s">
        <v>937</v>
      </c>
      <c r="AK311" s="1">
        <v>22960</v>
      </c>
      <c r="AL311" s="1">
        <v>0</v>
      </c>
      <c r="AM311" s="1">
        <v>22960</v>
      </c>
      <c r="AN311" s="1">
        <v>11480</v>
      </c>
      <c r="AO311" s="1">
        <v>0</v>
      </c>
      <c r="AP311" s="1">
        <v>11480</v>
      </c>
      <c r="AQ311" s="1">
        <v>375</v>
      </c>
      <c r="AR311" s="1">
        <v>0</v>
      </c>
      <c r="AS311" s="1">
        <v>375</v>
      </c>
      <c r="AT311" s="1">
        <v>0</v>
      </c>
      <c r="BA311" s="195"/>
      <c r="BB311" s="195"/>
      <c r="BC311" s="195"/>
      <c r="BD311" s="195"/>
      <c r="BE311" s="195"/>
      <c r="BF311" s="195"/>
      <c r="BG311" s="195"/>
      <c r="BH311" s="195"/>
      <c r="BI311" s="195"/>
    </row>
    <row r="312" spans="1:61" x14ac:dyDescent="0.25">
      <c r="A312" t="s">
        <v>343</v>
      </c>
      <c r="B312" t="s">
        <v>344</v>
      </c>
      <c r="C312" t="s">
        <v>910</v>
      </c>
      <c r="D312" t="s">
        <v>90</v>
      </c>
      <c r="E312" t="s">
        <v>911</v>
      </c>
      <c r="F312" t="s">
        <v>912</v>
      </c>
      <c r="G312" t="s">
        <v>913</v>
      </c>
      <c r="H312" t="s">
        <v>914</v>
      </c>
      <c r="I312" t="s">
        <v>915</v>
      </c>
      <c r="J312" t="s">
        <v>103</v>
      </c>
      <c r="K312" t="s">
        <v>931</v>
      </c>
      <c r="L312" t="s">
        <v>97</v>
      </c>
      <c r="M312" t="s">
        <v>937</v>
      </c>
      <c r="N312" t="s">
        <v>938</v>
      </c>
      <c r="AG312" t="s">
        <v>522</v>
      </c>
      <c r="AH312" t="s">
        <v>523</v>
      </c>
      <c r="AI312" t="s">
        <v>353</v>
      </c>
      <c r="AJ312" t="s">
        <v>937</v>
      </c>
      <c r="AK312" s="1">
        <v>43823.519999999997</v>
      </c>
      <c r="AL312" s="1">
        <v>0</v>
      </c>
      <c r="AM312" s="1">
        <v>43823.519999999997</v>
      </c>
      <c r="AN312" s="1">
        <v>21911.759999999998</v>
      </c>
      <c r="AO312" s="1">
        <v>0</v>
      </c>
      <c r="AP312" s="1">
        <v>21911.759999999998</v>
      </c>
      <c r="AQ312" s="1">
        <v>20483.95</v>
      </c>
      <c r="AR312" s="1">
        <v>0</v>
      </c>
      <c r="AS312" s="1">
        <v>20483.95</v>
      </c>
      <c r="AT312" s="1">
        <v>0</v>
      </c>
      <c r="BA312" s="195"/>
      <c r="BB312" s="195"/>
      <c r="BC312" s="195"/>
      <c r="BD312" s="195"/>
      <c r="BE312" s="195"/>
      <c r="BF312" s="195"/>
      <c r="BG312" s="195"/>
      <c r="BH312" s="195"/>
      <c r="BI312" s="195"/>
    </row>
    <row r="313" spans="1:61" x14ac:dyDescent="0.25">
      <c r="A313" t="s">
        <v>343</v>
      </c>
      <c r="B313" t="s">
        <v>344</v>
      </c>
      <c r="C313" t="s">
        <v>910</v>
      </c>
      <c r="D313" t="s">
        <v>90</v>
      </c>
      <c r="E313" t="s">
        <v>911</v>
      </c>
      <c r="F313" t="s">
        <v>912</v>
      </c>
      <c r="G313" t="s">
        <v>913</v>
      </c>
      <c r="H313" t="s">
        <v>914</v>
      </c>
      <c r="I313" t="s">
        <v>915</v>
      </c>
      <c r="J313" t="s">
        <v>103</v>
      </c>
      <c r="K313" t="s">
        <v>931</v>
      </c>
      <c r="L313" t="s">
        <v>97</v>
      </c>
      <c r="M313" t="s">
        <v>937</v>
      </c>
      <c r="N313" t="s">
        <v>938</v>
      </c>
      <c r="AG313" t="s">
        <v>524</v>
      </c>
      <c r="AH313" t="s">
        <v>525</v>
      </c>
      <c r="AI313" t="s">
        <v>353</v>
      </c>
      <c r="AJ313" t="s">
        <v>937</v>
      </c>
      <c r="AK313" s="1">
        <v>10430.18</v>
      </c>
      <c r="AL313" s="1">
        <v>0</v>
      </c>
      <c r="AM313" s="1">
        <v>10430.18</v>
      </c>
      <c r="AN313" s="1">
        <v>5215.09</v>
      </c>
      <c r="AO313" s="1">
        <v>0</v>
      </c>
      <c r="AP313" s="1">
        <v>5215.09</v>
      </c>
      <c r="AQ313" s="1">
        <v>4942.6099999999997</v>
      </c>
      <c r="AR313" s="1">
        <v>0</v>
      </c>
      <c r="AS313" s="1">
        <v>4942.6099999999997</v>
      </c>
      <c r="AT313" s="1">
        <v>0</v>
      </c>
      <c r="BA313" s="195"/>
      <c r="BB313" s="195"/>
      <c r="BC313" s="195"/>
      <c r="BD313" s="195"/>
      <c r="BE313" s="195"/>
      <c r="BF313" s="195"/>
      <c r="BG313" s="195"/>
      <c r="BH313" s="195"/>
      <c r="BI313" s="195"/>
    </row>
    <row r="314" spans="1:61" x14ac:dyDescent="0.25">
      <c r="A314" t="s">
        <v>343</v>
      </c>
      <c r="B314" t="s">
        <v>344</v>
      </c>
      <c r="C314" t="s">
        <v>910</v>
      </c>
      <c r="D314" t="s">
        <v>90</v>
      </c>
      <c r="E314" t="s">
        <v>911</v>
      </c>
      <c r="F314" t="s">
        <v>912</v>
      </c>
      <c r="G314" t="s">
        <v>913</v>
      </c>
      <c r="H314" t="s">
        <v>914</v>
      </c>
      <c r="I314" t="s">
        <v>915</v>
      </c>
      <c r="J314" t="s">
        <v>103</v>
      </c>
      <c r="K314" t="s">
        <v>931</v>
      </c>
      <c r="L314" t="s">
        <v>97</v>
      </c>
      <c r="M314" t="s">
        <v>937</v>
      </c>
      <c r="N314" t="s">
        <v>938</v>
      </c>
      <c r="AG314" t="s">
        <v>526</v>
      </c>
      <c r="AH314" t="s">
        <v>527</v>
      </c>
      <c r="AI314" t="s">
        <v>353</v>
      </c>
      <c r="AJ314" t="s">
        <v>937</v>
      </c>
      <c r="AK314" s="1">
        <v>53941.78</v>
      </c>
      <c r="AL314" s="1">
        <v>0</v>
      </c>
      <c r="AM314" s="1">
        <v>53941.78</v>
      </c>
      <c r="AN314" s="1">
        <v>26970.89</v>
      </c>
      <c r="AO314" s="1">
        <v>0</v>
      </c>
      <c r="AP314" s="1">
        <v>26970.89</v>
      </c>
      <c r="AQ314" s="1">
        <v>22319.54</v>
      </c>
      <c r="AR314" s="1">
        <v>0</v>
      </c>
      <c r="AS314" s="1">
        <v>22319.54</v>
      </c>
      <c r="AT314" s="1">
        <v>0</v>
      </c>
      <c r="BA314" s="195"/>
      <c r="BB314" s="195"/>
      <c r="BC314" s="195"/>
      <c r="BD314" s="195"/>
      <c r="BE314" s="195"/>
      <c r="BF314" s="195"/>
      <c r="BG314" s="195"/>
      <c r="BH314" s="195"/>
      <c r="BI314" s="195"/>
    </row>
    <row r="315" spans="1:61" x14ac:dyDescent="0.25">
      <c r="A315" t="s">
        <v>343</v>
      </c>
      <c r="B315" t="s">
        <v>344</v>
      </c>
      <c r="C315" t="s">
        <v>910</v>
      </c>
      <c r="D315" t="s">
        <v>90</v>
      </c>
      <c r="E315" t="s">
        <v>911</v>
      </c>
      <c r="F315" t="s">
        <v>912</v>
      </c>
      <c r="G315" t="s">
        <v>913</v>
      </c>
      <c r="H315" t="s">
        <v>914</v>
      </c>
      <c r="I315" t="s">
        <v>915</v>
      </c>
      <c r="J315" t="s">
        <v>103</v>
      </c>
      <c r="K315" t="s">
        <v>931</v>
      </c>
      <c r="L315" t="s">
        <v>97</v>
      </c>
      <c r="M315" t="s">
        <v>937</v>
      </c>
      <c r="N315" t="s">
        <v>938</v>
      </c>
      <c r="AG315" t="s">
        <v>528</v>
      </c>
      <c r="AH315" t="s">
        <v>529</v>
      </c>
      <c r="AI315" t="s">
        <v>353</v>
      </c>
      <c r="AJ315" t="s">
        <v>937</v>
      </c>
      <c r="AK315" s="1">
        <v>33797.360000000001</v>
      </c>
      <c r="AL315" s="1">
        <v>0</v>
      </c>
      <c r="AM315" s="1">
        <v>33797.360000000001</v>
      </c>
      <c r="AN315" s="1">
        <v>16898.68</v>
      </c>
      <c r="AO315" s="1">
        <v>0</v>
      </c>
      <c r="AP315" s="1">
        <v>16898.68</v>
      </c>
      <c r="AQ315" s="1">
        <v>15646.86</v>
      </c>
      <c r="AR315" s="1">
        <v>0</v>
      </c>
      <c r="AS315" s="1">
        <v>15646.86</v>
      </c>
      <c r="AT315" s="1">
        <v>0</v>
      </c>
      <c r="BA315" s="195"/>
      <c r="BB315" s="195"/>
      <c r="BC315" s="195"/>
      <c r="BD315" s="195"/>
      <c r="BE315" s="195"/>
      <c r="BF315" s="195"/>
      <c r="BG315" s="195"/>
      <c r="BH315" s="195"/>
      <c r="BI315" s="195"/>
    </row>
    <row r="316" spans="1:61" x14ac:dyDescent="0.25">
      <c r="A316" t="s">
        <v>343</v>
      </c>
      <c r="B316" t="s">
        <v>344</v>
      </c>
      <c r="C316" t="s">
        <v>910</v>
      </c>
      <c r="D316" t="s">
        <v>90</v>
      </c>
      <c r="E316" t="s">
        <v>911</v>
      </c>
      <c r="F316" t="s">
        <v>912</v>
      </c>
      <c r="G316" t="s">
        <v>913</v>
      </c>
      <c r="H316" t="s">
        <v>914</v>
      </c>
      <c r="I316" t="s">
        <v>915</v>
      </c>
      <c r="J316" t="s">
        <v>103</v>
      </c>
      <c r="K316" t="s">
        <v>931</v>
      </c>
      <c r="L316" t="s">
        <v>97</v>
      </c>
      <c r="M316" t="s">
        <v>937</v>
      </c>
      <c r="N316" t="s">
        <v>938</v>
      </c>
      <c r="AG316" t="s">
        <v>530</v>
      </c>
      <c r="AH316" t="s">
        <v>531</v>
      </c>
      <c r="AI316" t="s">
        <v>353</v>
      </c>
      <c r="AJ316" t="s">
        <v>937</v>
      </c>
      <c r="AK316" s="1">
        <v>26940.3</v>
      </c>
      <c r="AL316" s="1">
        <v>0</v>
      </c>
      <c r="AM316" s="1">
        <v>26940.3</v>
      </c>
      <c r="AN316" s="1">
        <v>13470.15</v>
      </c>
      <c r="AO316" s="1">
        <v>0</v>
      </c>
      <c r="AP316" s="1">
        <v>13470.15</v>
      </c>
      <c r="AQ316" s="1">
        <v>16668.03</v>
      </c>
      <c r="AR316" s="1">
        <v>0</v>
      </c>
      <c r="AS316" s="1">
        <v>16668.03</v>
      </c>
      <c r="AT316" s="1">
        <v>0</v>
      </c>
      <c r="BA316" s="195"/>
      <c r="BB316" s="195"/>
      <c r="BC316" s="195"/>
      <c r="BD316" s="195"/>
      <c r="BE316" s="195"/>
      <c r="BF316" s="195"/>
      <c r="BG316" s="195"/>
      <c r="BH316" s="195"/>
      <c r="BI316" s="195"/>
    </row>
    <row r="317" spans="1:61" x14ac:dyDescent="0.25">
      <c r="A317" t="s">
        <v>343</v>
      </c>
      <c r="B317" t="s">
        <v>344</v>
      </c>
      <c r="C317" t="s">
        <v>910</v>
      </c>
      <c r="D317" t="s">
        <v>90</v>
      </c>
      <c r="E317" t="s">
        <v>911</v>
      </c>
      <c r="F317" t="s">
        <v>912</v>
      </c>
      <c r="G317" t="s">
        <v>913</v>
      </c>
      <c r="H317" t="s">
        <v>914</v>
      </c>
      <c r="I317" t="s">
        <v>915</v>
      </c>
      <c r="J317" t="s">
        <v>103</v>
      </c>
      <c r="K317" t="s">
        <v>931</v>
      </c>
      <c r="L317" t="s">
        <v>97</v>
      </c>
      <c r="M317" t="s">
        <v>937</v>
      </c>
      <c r="N317" t="s">
        <v>938</v>
      </c>
      <c r="AG317" t="s">
        <v>543</v>
      </c>
      <c r="AH317" t="s">
        <v>544</v>
      </c>
      <c r="AI317" t="s">
        <v>353</v>
      </c>
      <c r="AJ317" t="s">
        <v>937</v>
      </c>
      <c r="AK317" s="1">
        <v>2654.3</v>
      </c>
      <c r="AL317" s="1">
        <v>0</v>
      </c>
      <c r="AM317" s="1">
        <v>2654.3</v>
      </c>
      <c r="AN317" s="1">
        <v>1327.15</v>
      </c>
      <c r="AO317" s="1">
        <v>0</v>
      </c>
      <c r="AP317" s="1">
        <v>1327.15</v>
      </c>
      <c r="AQ317" s="1">
        <v>1393.22</v>
      </c>
      <c r="AR317" s="1">
        <v>0</v>
      </c>
      <c r="AS317" s="1">
        <v>1393.22</v>
      </c>
      <c r="AT317" s="1">
        <v>0</v>
      </c>
      <c r="BA317" s="195"/>
      <c r="BB317" s="195"/>
      <c r="BC317" s="195"/>
      <c r="BD317" s="195"/>
      <c r="BE317" s="195"/>
      <c r="BF317" s="195"/>
      <c r="BG317" s="195"/>
      <c r="BH317" s="195"/>
      <c r="BI317" s="195"/>
    </row>
    <row r="318" spans="1:61" x14ac:dyDescent="0.25">
      <c r="A318" t="s">
        <v>343</v>
      </c>
      <c r="B318" t="s">
        <v>344</v>
      </c>
      <c r="C318" t="s">
        <v>910</v>
      </c>
      <c r="D318" t="s">
        <v>90</v>
      </c>
      <c r="E318" t="s">
        <v>911</v>
      </c>
      <c r="F318" t="s">
        <v>912</v>
      </c>
      <c r="G318" t="s">
        <v>913</v>
      </c>
      <c r="H318" t="s">
        <v>914</v>
      </c>
      <c r="I318" t="s">
        <v>915</v>
      </c>
      <c r="J318" t="s">
        <v>103</v>
      </c>
      <c r="K318" t="s">
        <v>931</v>
      </c>
      <c r="L318" t="s">
        <v>97</v>
      </c>
      <c r="M318" t="s">
        <v>937</v>
      </c>
      <c r="N318" t="s">
        <v>938</v>
      </c>
      <c r="AG318" t="s">
        <v>545</v>
      </c>
      <c r="AH318" t="s">
        <v>546</v>
      </c>
      <c r="AI318" t="s">
        <v>353</v>
      </c>
      <c r="AJ318" t="s">
        <v>937</v>
      </c>
      <c r="AK318" s="1">
        <v>62970.26</v>
      </c>
      <c r="AL318" s="1">
        <v>0</v>
      </c>
      <c r="AM318" s="1">
        <v>62970.26</v>
      </c>
      <c r="AN318" s="1">
        <v>31485.13</v>
      </c>
      <c r="AO318" s="1">
        <v>0</v>
      </c>
      <c r="AP318" s="1">
        <v>31485.13</v>
      </c>
      <c r="AQ318" s="1">
        <v>50953.3</v>
      </c>
      <c r="AR318" s="1">
        <v>0</v>
      </c>
      <c r="AS318" s="1">
        <v>50953.3</v>
      </c>
      <c r="AT318" s="1">
        <v>0</v>
      </c>
      <c r="BA318" s="195"/>
      <c r="BB318" s="195"/>
      <c r="BC318" s="195"/>
      <c r="BD318" s="195"/>
      <c r="BE318" s="195"/>
      <c r="BF318" s="195"/>
      <c r="BG318" s="195"/>
      <c r="BH318" s="195"/>
      <c r="BI318" s="195"/>
    </row>
    <row r="319" spans="1:61" x14ac:dyDescent="0.25">
      <c r="A319" t="s">
        <v>343</v>
      </c>
      <c r="B319" t="s">
        <v>344</v>
      </c>
      <c r="C319" t="s">
        <v>910</v>
      </c>
      <c r="D319" t="s">
        <v>90</v>
      </c>
      <c r="E319" t="s">
        <v>911</v>
      </c>
      <c r="F319" t="s">
        <v>912</v>
      </c>
      <c r="G319" t="s">
        <v>913</v>
      </c>
      <c r="H319" t="s">
        <v>914</v>
      </c>
      <c r="I319" t="s">
        <v>915</v>
      </c>
      <c r="J319" t="s">
        <v>103</v>
      </c>
      <c r="K319" t="s">
        <v>931</v>
      </c>
      <c r="L319" t="s">
        <v>97</v>
      </c>
      <c r="M319" t="s">
        <v>937</v>
      </c>
      <c r="N319" t="s">
        <v>938</v>
      </c>
      <c r="AG319" t="s">
        <v>547</v>
      </c>
      <c r="AH319" t="s">
        <v>548</v>
      </c>
      <c r="AI319" t="s">
        <v>353</v>
      </c>
      <c r="AJ319" t="s">
        <v>937</v>
      </c>
      <c r="AK319" s="1">
        <v>599421.88</v>
      </c>
      <c r="AL319" s="1">
        <v>0</v>
      </c>
      <c r="AM319" s="1">
        <v>599421.88</v>
      </c>
      <c r="AN319" s="1">
        <v>299710.94</v>
      </c>
      <c r="AO319" s="1">
        <v>0</v>
      </c>
      <c r="AP319" s="1">
        <v>299710.94</v>
      </c>
      <c r="AQ319" s="1">
        <v>296476</v>
      </c>
      <c r="AR319" s="1">
        <v>0</v>
      </c>
      <c r="AS319" s="1">
        <v>296476</v>
      </c>
      <c r="AT319" s="1">
        <v>0</v>
      </c>
      <c r="BA319" s="195"/>
      <c r="BB319" s="195"/>
      <c r="BC319" s="195"/>
      <c r="BD319" s="195"/>
      <c r="BE319" s="195"/>
      <c r="BF319" s="195"/>
      <c r="BG319" s="195"/>
      <c r="BH319" s="195"/>
      <c r="BI319" s="195"/>
    </row>
    <row r="320" spans="1:61" x14ac:dyDescent="0.25">
      <c r="A320" t="s">
        <v>343</v>
      </c>
      <c r="B320" t="s">
        <v>344</v>
      </c>
      <c r="C320" t="s">
        <v>910</v>
      </c>
      <c r="D320" t="s">
        <v>90</v>
      </c>
      <c r="E320" t="s">
        <v>911</v>
      </c>
      <c r="F320" t="s">
        <v>912</v>
      </c>
      <c r="G320" t="s">
        <v>913</v>
      </c>
      <c r="H320" t="s">
        <v>914</v>
      </c>
      <c r="I320" t="s">
        <v>915</v>
      </c>
      <c r="J320" t="s">
        <v>103</v>
      </c>
      <c r="K320" t="s">
        <v>931</v>
      </c>
      <c r="L320" t="s">
        <v>97</v>
      </c>
      <c r="M320" t="s">
        <v>937</v>
      </c>
      <c r="N320" t="s">
        <v>938</v>
      </c>
      <c r="AG320" t="s">
        <v>549</v>
      </c>
      <c r="AH320" t="s">
        <v>550</v>
      </c>
      <c r="AI320" t="s">
        <v>353</v>
      </c>
      <c r="AJ320" t="s">
        <v>937</v>
      </c>
      <c r="AK320" s="1">
        <v>122219.9</v>
      </c>
      <c r="AL320" s="1">
        <v>0</v>
      </c>
      <c r="AM320" s="1">
        <v>122219.9</v>
      </c>
      <c r="AN320" s="1">
        <v>61109.95</v>
      </c>
      <c r="AO320" s="1">
        <v>0</v>
      </c>
      <c r="AP320" s="1">
        <v>61109.95</v>
      </c>
      <c r="AQ320" s="1">
        <v>49626.14</v>
      </c>
      <c r="AR320" s="1">
        <v>0</v>
      </c>
      <c r="AS320" s="1">
        <v>49626.14</v>
      </c>
      <c r="AT320" s="1">
        <v>0</v>
      </c>
      <c r="BA320" s="195"/>
      <c r="BB320" s="195"/>
      <c r="BC320" s="195"/>
      <c r="BD320" s="195"/>
      <c r="BE320" s="195"/>
      <c r="BF320" s="195"/>
      <c r="BG320" s="195"/>
      <c r="BH320" s="195"/>
      <c r="BI320" s="195"/>
    </row>
    <row r="321" spans="1:61" x14ac:dyDescent="0.25">
      <c r="A321" t="s">
        <v>343</v>
      </c>
      <c r="B321" t="s">
        <v>344</v>
      </c>
      <c r="C321" t="s">
        <v>910</v>
      </c>
      <c r="D321" t="s">
        <v>90</v>
      </c>
      <c r="E321" t="s">
        <v>911</v>
      </c>
      <c r="F321" t="s">
        <v>912</v>
      </c>
      <c r="G321" t="s">
        <v>913</v>
      </c>
      <c r="H321" t="s">
        <v>914</v>
      </c>
      <c r="I321" t="s">
        <v>915</v>
      </c>
      <c r="J321" t="s">
        <v>103</v>
      </c>
      <c r="K321" t="s">
        <v>931</v>
      </c>
      <c r="L321" t="s">
        <v>97</v>
      </c>
      <c r="M321" t="s">
        <v>937</v>
      </c>
      <c r="N321" t="s">
        <v>938</v>
      </c>
      <c r="AG321" t="s">
        <v>551</v>
      </c>
      <c r="AH321" t="s">
        <v>552</v>
      </c>
      <c r="AI321" t="s">
        <v>353</v>
      </c>
      <c r="AJ321" t="s">
        <v>937</v>
      </c>
      <c r="AK321" s="1">
        <v>57722.22</v>
      </c>
      <c r="AL321" s="1">
        <v>0</v>
      </c>
      <c r="AM321" s="1">
        <v>57722.22</v>
      </c>
      <c r="AN321" s="1">
        <v>28861.11</v>
      </c>
      <c r="AO321" s="1">
        <v>0</v>
      </c>
      <c r="AP321" s="1">
        <v>28861.11</v>
      </c>
      <c r="AQ321" s="1">
        <v>25932.23</v>
      </c>
      <c r="AR321" s="1">
        <v>0</v>
      </c>
      <c r="AS321" s="1">
        <v>25932.23</v>
      </c>
      <c r="AT321" s="1">
        <v>0</v>
      </c>
      <c r="BA321" s="195"/>
      <c r="BB321" s="195"/>
      <c r="BC321" s="195"/>
      <c r="BD321" s="195"/>
      <c r="BE321" s="195"/>
      <c r="BF321" s="195"/>
      <c r="BG321" s="195"/>
      <c r="BH321" s="195"/>
      <c r="BI321" s="195"/>
    </row>
    <row r="322" spans="1:61" x14ac:dyDescent="0.25">
      <c r="A322" t="s">
        <v>343</v>
      </c>
      <c r="B322" t="s">
        <v>344</v>
      </c>
      <c r="C322" t="s">
        <v>910</v>
      </c>
      <c r="D322" t="s">
        <v>90</v>
      </c>
      <c r="E322" t="s">
        <v>911</v>
      </c>
      <c r="F322" t="s">
        <v>912</v>
      </c>
      <c r="G322" t="s">
        <v>913</v>
      </c>
      <c r="H322" t="s">
        <v>914</v>
      </c>
      <c r="I322" t="s">
        <v>915</v>
      </c>
      <c r="J322" t="s">
        <v>103</v>
      </c>
      <c r="K322" t="s">
        <v>931</v>
      </c>
      <c r="L322" t="s">
        <v>97</v>
      </c>
      <c r="M322" t="s">
        <v>937</v>
      </c>
      <c r="N322" t="s">
        <v>938</v>
      </c>
      <c r="AG322" t="s">
        <v>553</v>
      </c>
      <c r="AH322" t="s">
        <v>554</v>
      </c>
      <c r="AI322" t="s">
        <v>353</v>
      </c>
      <c r="AJ322" t="s">
        <v>937</v>
      </c>
      <c r="AK322" s="1">
        <v>58055.66</v>
      </c>
      <c r="AL322" s="1">
        <v>0</v>
      </c>
      <c r="AM322" s="1">
        <v>58055.66</v>
      </c>
      <c r="AN322" s="1">
        <v>29027.83</v>
      </c>
      <c r="AO322" s="1">
        <v>0</v>
      </c>
      <c r="AP322" s="1">
        <v>29027.83</v>
      </c>
      <c r="AQ322" s="1">
        <v>32646.49</v>
      </c>
      <c r="AR322" s="1">
        <v>0</v>
      </c>
      <c r="AS322" s="1">
        <v>32646.49</v>
      </c>
      <c r="AT322" s="1">
        <v>0</v>
      </c>
      <c r="BA322" s="195"/>
      <c r="BB322" s="195"/>
      <c r="BC322" s="195"/>
      <c r="BD322" s="195"/>
      <c r="BE322" s="195"/>
      <c r="BF322" s="195"/>
      <c r="BG322" s="195"/>
      <c r="BH322" s="195"/>
      <c r="BI322" s="195"/>
    </row>
    <row r="323" spans="1:61" x14ac:dyDescent="0.25">
      <c r="A323" t="s">
        <v>343</v>
      </c>
      <c r="B323" t="s">
        <v>344</v>
      </c>
      <c r="C323" t="s">
        <v>910</v>
      </c>
      <c r="D323" t="s">
        <v>90</v>
      </c>
      <c r="E323" t="s">
        <v>911</v>
      </c>
      <c r="F323" t="s">
        <v>912</v>
      </c>
      <c r="G323" t="s">
        <v>913</v>
      </c>
      <c r="H323" t="s">
        <v>914</v>
      </c>
      <c r="I323" t="s">
        <v>915</v>
      </c>
      <c r="J323" t="s">
        <v>103</v>
      </c>
      <c r="K323" t="s">
        <v>931</v>
      </c>
      <c r="L323" t="s">
        <v>97</v>
      </c>
      <c r="M323" t="s">
        <v>937</v>
      </c>
      <c r="N323" t="s">
        <v>938</v>
      </c>
      <c r="AG323" t="s">
        <v>555</v>
      </c>
      <c r="AH323" t="s">
        <v>556</v>
      </c>
      <c r="AI323" t="s">
        <v>353</v>
      </c>
      <c r="AJ323" t="s">
        <v>937</v>
      </c>
      <c r="AK323" s="1">
        <v>8093.72</v>
      </c>
      <c r="AL323" s="1">
        <v>0</v>
      </c>
      <c r="AM323" s="1">
        <v>8093.72</v>
      </c>
      <c r="AN323" s="1">
        <v>4046.86</v>
      </c>
      <c r="AO323" s="1">
        <v>0</v>
      </c>
      <c r="AP323" s="1">
        <v>4046.86</v>
      </c>
      <c r="AQ323" s="1">
        <v>5082.3599999999997</v>
      </c>
      <c r="AR323" s="1">
        <v>0</v>
      </c>
      <c r="AS323" s="1">
        <v>5082.3599999999997</v>
      </c>
      <c r="AT323" s="1">
        <v>0</v>
      </c>
      <c r="BA323" s="195"/>
      <c r="BB323" s="195"/>
      <c r="BC323" s="195"/>
      <c r="BD323" s="195"/>
      <c r="BE323" s="195"/>
      <c r="BF323" s="195"/>
      <c r="BG323" s="195"/>
      <c r="BH323" s="195"/>
      <c r="BI323" s="195"/>
    </row>
    <row r="324" spans="1:61" x14ac:dyDescent="0.25">
      <c r="A324" t="s">
        <v>343</v>
      </c>
      <c r="B324" t="s">
        <v>344</v>
      </c>
      <c r="C324" t="s">
        <v>910</v>
      </c>
      <c r="D324" t="s">
        <v>90</v>
      </c>
      <c r="E324" t="s">
        <v>911</v>
      </c>
      <c r="F324" t="s">
        <v>912</v>
      </c>
      <c r="G324" t="s">
        <v>913</v>
      </c>
      <c r="H324" t="s">
        <v>914</v>
      </c>
      <c r="I324" t="s">
        <v>915</v>
      </c>
      <c r="J324" t="s">
        <v>103</v>
      </c>
      <c r="K324" t="s">
        <v>931</v>
      </c>
      <c r="L324" t="s">
        <v>97</v>
      </c>
      <c r="M324" t="s">
        <v>937</v>
      </c>
      <c r="N324" t="s">
        <v>938</v>
      </c>
      <c r="AG324" t="s">
        <v>557</v>
      </c>
      <c r="AH324" t="s">
        <v>558</v>
      </c>
      <c r="AI324" t="s">
        <v>353</v>
      </c>
      <c r="AJ324" t="s">
        <v>937</v>
      </c>
      <c r="AK324" s="1">
        <v>10180</v>
      </c>
      <c r="AL324" s="1">
        <v>0</v>
      </c>
      <c r="AM324" s="1">
        <v>10180</v>
      </c>
      <c r="AN324" s="1">
        <v>5090</v>
      </c>
      <c r="AO324" s="1">
        <v>0</v>
      </c>
      <c r="AP324" s="1">
        <v>5090</v>
      </c>
      <c r="AQ324" s="1">
        <v>908.88</v>
      </c>
      <c r="AR324" s="1">
        <v>0</v>
      </c>
      <c r="AS324" s="1">
        <v>908.88</v>
      </c>
      <c r="AT324" s="1">
        <v>0</v>
      </c>
      <c r="BA324" s="195"/>
      <c r="BB324" s="195"/>
      <c r="BC324" s="195"/>
      <c r="BD324" s="195"/>
      <c r="BE324" s="195"/>
      <c r="BF324" s="195"/>
      <c r="BG324" s="195"/>
      <c r="BH324" s="195"/>
      <c r="BI324" s="195"/>
    </row>
    <row r="325" spans="1:61" x14ac:dyDescent="0.25">
      <c r="A325" t="s">
        <v>343</v>
      </c>
      <c r="B325" t="s">
        <v>344</v>
      </c>
      <c r="C325" t="s">
        <v>910</v>
      </c>
      <c r="D325" t="s">
        <v>90</v>
      </c>
      <c r="E325" t="s">
        <v>911</v>
      </c>
      <c r="F325" t="s">
        <v>912</v>
      </c>
      <c r="G325" t="s">
        <v>913</v>
      </c>
      <c r="H325" t="s">
        <v>914</v>
      </c>
      <c r="I325" t="s">
        <v>915</v>
      </c>
      <c r="J325" t="s">
        <v>103</v>
      </c>
      <c r="K325" t="s">
        <v>931</v>
      </c>
      <c r="L325" t="s">
        <v>97</v>
      </c>
      <c r="M325" t="s">
        <v>937</v>
      </c>
      <c r="N325" t="s">
        <v>938</v>
      </c>
      <c r="AG325" t="s">
        <v>559</v>
      </c>
      <c r="AH325" t="s">
        <v>560</v>
      </c>
      <c r="AI325" t="s">
        <v>353</v>
      </c>
      <c r="AJ325" t="s">
        <v>937</v>
      </c>
      <c r="AK325" s="1">
        <v>37660.92</v>
      </c>
      <c r="AL325" s="1">
        <v>0</v>
      </c>
      <c r="AM325" s="1">
        <v>37660.92</v>
      </c>
      <c r="AN325" s="1">
        <v>18830.46</v>
      </c>
      <c r="AO325" s="1">
        <v>0</v>
      </c>
      <c r="AP325" s="1">
        <v>18830.46</v>
      </c>
      <c r="AQ325" s="1">
        <v>31471.87</v>
      </c>
      <c r="AR325" s="1">
        <v>0</v>
      </c>
      <c r="AS325" s="1">
        <v>31471.87</v>
      </c>
      <c r="AT325" s="1">
        <v>0</v>
      </c>
      <c r="BA325" s="195"/>
      <c r="BB325" s="195"/>
      <c r="BC325" s="195"/>
      <c r="BD325" s="195"/>
      <c r="BE325" s="195"/>
      <c r="BF325" s="195"/>
      <c r="BG325" s="195"/>
      <c r="BH325" s="195"/>
      <c r="BI325" s="195"/>
    </row>
    <row r="326" spans="1:61" x14ac:dyDescent="0.25">
      <c r="A326" t="s">
        <v>343</v>
      </c>
      <c r="B326" t="s">
        <v>344</v>
      </c>
      <c r="C326" t="s">
        <v>910</v>
      </c>
      <c r="D326" t="s">
        <v>90</v>
      </c>
      <c r="E326" t="s">
        <v>911</v>
      </c>
      <c r="F326" t="s">
        <v>912</v>
      </c>
      <c r="G326" t="s">
        <v>913</v>
      </c>
      <c r="H326" t="s">
        <v>914</v>
      </c>
      <c r="I326" t="s">
        <v>915</v>
      </c>
      <c r="J326" t="s">
        <v>103</v>
      </c>
      <c r="K326" t="s">
        <v>931</v>
      </c>
      <c r="L326" t="s">
        <v>97</v>
      </c>
      <c r="M326" t="s">
        <v>937</v>
      </c>
      <c r="N326" t="s">
        <v>938</v>
      </c>
      <c r="AG326" t="s">
        <v>561</v>
      </c>
      <c r="AH326" t="s">
        <v>562</v>
      </c>
      <c r="AI326" t="s">
        <v>353</v>
      </c>
      <c r="AJ326" t="s">
        <v>937</v>
      </c>
      <c r="AK326" s="1">
        <v>7461.56</v>
      </c>
      <c r="AL326" s="1">
        <v>0</v>
      </c>
      <c r="AM326" s="1">
        <v>7461.56</v>
      </c>
      <c r="AN326" s="1">
        <v>3730.78</v>
      </c>
      <c r="AO326" s="1">
        <v>0</v>
      </c>
      <c r="AP326" s="1">
        <v>3730.78</v>
      </c>
      <c r="AQ326" s="1">
        <v>6371.64</v>
      </c>
      <c r="AR326" s="1">
        <v>0</v>
      </c>
      <c r="AS326" s="1">
        <v>6371.64</v>
      </c>
      <c r="AT326" s="1">
        <v>0</v>
      </c>
      <c r="BA326" s="195"/>
      <c r="BB326" s="195"/>
      <c r="BC326" s="195"/>
      <c r="BD326" s="195"/>
      <c r="BE326" s="195"/>
      <c r="BF326" s="195"/>
      <c r="BG326" s="195"/>
      <c r="BH326" s="195"/>
      <c r="BI326" s="195"/>
    </row>
    <row r="327" spans="1:61" x14ac:dyDescent="0.25">
      <c r="A327" t="s">
        <v>343</v>
      </c>
      <c r="B327" t="s">
        <v>344</v>
      </c>
      <c r="C327" t="s">
        <v>910</v>
      </c>
      <c r="D327" t="s">
        <v>90</v>
      </c>
      <c r="E327" t="s">
        <v>911</v>
      </c>
      <c r="F327" t="s">
        <v>912</v>
      </c>
      <c r="G327" t="s">
        <v>913</v>
      </c>
      <c r="H327" t="s">
        <v>914</v>
      </c>
      <c r="I327" t="s">
        <v>915</v>
      </c>
      <c r="J327" t="s">
        <v>103</v>
      </c>
      <c r="K327" t="s">
        <v>931</v>
      </c>
      <c r="L327" t="s">
        <v>97</v>
      </c>
      <c r="M327" t="s">
        <v>937</v>
      </c>
      <c r="N327" t="s">
        <v>938</v>
      </c>
      <c r="AG327" t="s">
        <v>563</v>
      </c>
      <c r="AH327" t="s">
        <v>564</v>
      </c>
      <c r="AI327" t="s">
        <v>353</v>
      </c>
      <c r="AJ327" t="s">
        <v>937</v>
      </c>
      <c r="AK327" s="1">
        <v>100292.1</v>
      </c>
      <c r="AL327" s="1">
        <v>0</v>
      </c>
      <c r="AM327" s="1">
        <v>100292.1</v>
      </c>
      <c r="AN327" s="1">
        <v>50146.05</v>
      </c>
      <c r="AO327" s="1">
        <v>0</v>
      </c>
      <c r="AP327" s="1">
        <v>50146.05</v>
      </c>
      <c r="AQ327" s="1">
        <v>44704.03</v>
      </c>
      <c r="AR327" s="1">
        <v>0</v>
      </c>
      <c r="AS327" s="1">
        <v>44704.03</v>
      </c>
      <c r="AT327" s="1">
        <v>0</v>
      </c>
      <c r="BA327" s="195"/>
      <c r="BB327" s="195"/>
      <c r="BC327" s="195"/>
      <c r="BD327" s="195"/>
      <c r="BE327" s="195"/>
      <c r="BF327" s="195"/>
      <c r="BG327" s="195"/>
      <c r="BH327" s="195"/>
      <c r="BI327" s="195"/>
    </row>
    <row r="328" spans="1:61" x14ac:dyDescent="0.25">
      <c r="A328" t="s">
        <v>343</v>
      </c>
      <c r="B328" t="s">
        <v>344</v>
      </c>
      <c r="C328" t="s">
        <v>910</v>
      </c>
      <c r="D328" t="s">
        <v>90</v>
      </c>
      <c r="E328" t="s">
        <v>911</v>
      </c>
      <c r="F328" t="s">
        <v>912</v>
      </c>
      <c r="G328" t="s">
        <v>913</v>
      </c>
      <c r="H328" t="s">
        <v>914</v>
      </c>
      <c r="I328" t="s">
        <v>915</v>
      </c>
      <c r="J328" t="s">
        <v>103</v>
      </c>
      <c r="K328" t="s">
        <v>931</v>
      </c>
      <c r="L328" t="s">
        <v>97</v>
      </c>
      <c r="M328" t="s">
        <v>937</v>
      </c>
      <c r="N328" t="s">
        <v>938</v>
      </c>
      <c r="AG328" t="s">
        <v>565</v>
      </c>
      <c r="AH328" t="s">
        <v>566</v>
      </c>
      <c r="AI328" t="s">
        <v>353</v>
      </c>
      <c r="AJ328" t="s">
        <v>937</v>
      </c>
      <c r="AK328" s="1">
        <v>19565.8</v>
      </c>
      <c r="AL328" s="1">
        <v>0</v>
      </c>
      <c r="AM328" s="1">
        <v>19565.8</v>
      </c>
      <c r="AN328" s="1">
        <v>9782.9</v>
      </c>
      <c r="AO328" s="1">
        <v>0</v>
      </c>
      <c r="AP328" s="1">
        <v>9782.9</v>
      </c>
      <c r="AQ328" s="1">
        <v>14953.87</v>
      </c>
      <c r="AR328" s="1">
        <v>0</v>
      </c>
      <c r="AS328" s="1">
        <v>14953.87</v>
      </c>
      <c r="AT328" s="1">
        <v>0</v>
      </c>
      <c r="BA328" s="195"/>
      <c r="BB328" s="195"/>
      <c r="BC328" s="195"/>
      <c r="BD328" s="195"/>
      <c r="BE328" s="195"/>
      <c r="BF328" s="195"/>
      <c r="BG328" s="195"/>
      <c r="BH328" s="195"/>
      <c r="BI328" s="195"/>
    </row>
    <row r="329" spans="1:61" x14ac:dyDescent="0.25">
      <c r="A329" t="s">
        <v>343</v>
      </c>
      <c r="B329" t="s">
        <v>344</v>
      </c>
      <c r="C329" t="s">
        <v>910</v>
      </c>
      <c r="D329" t="s">
        <v>90</v>
      </c>
      <c r="E329" t="s">
        <v>911</v>
      </c>
      <c r="F329" t="s">
        <v>912</v>
      </c>
      <c r="G329" t="s">
        <v>913</v>
      </c>
      <c r="H329" t="s">
        <v>914</v>
      </c>
      <c r="I329" t="s">
        <v>915</v>
      </c>
      <c r="J329" t="s">
        <v>103</v>
      </c>
      <c r="K329" t="s">
        <v>931</v>
      </c>
      <c r="L329" t="s">
        <v>97</v>
      </c>
      <c r="M329" t="s">
        <v>937</v>
      </c>
      <c r="N329" t="s">
        <v>938</v>
      </c>
      <c r="AG329" t="s">
        <v>567</v>
      </c>
      <c r="AH329" t="s">
        <v>568</v>
      </c>
      <c r="AI329" t="s">
        <v>353</v>
      </c>
      <c r="AJ329" t="s">
        <v>937</v>
      </c>
      <c r="AK329" s="1">
        <v>13400</v>
      </c>
      <c r="AL329" s="1">
        <v>0</v>
      </c>
      <c r="AM329" s="1">
        <v>13400</v>
      </c>
      <c r="AN329" s="1">
        <v>6700</v>
      </c>
      <c r="AO329" s="1">
        <v>0</v>
      </c>
      <c r="AP329" s="1">
        <v>6700</v>
      </c>
      <c r="AQ329" s="1">
        <v>4904</v>
      </c>
      <c r="AR329" s="1">
        <v>0</v>
      </c>
      <c r="AS329" s="1">
        <v>4904</v>
      </c>
      <c r="AT329" s="1">
        <v>0</v>
      </c>
      <c r="BA329" s="195"/>
      <c r="BB329" s="195"/>
      <c r="BC329" s="195"/>
      <c r="BD329" s="195"/>
      <c r="BE329" s="195"/>
      <c r="BF329" s="195"/>
      <c r="BG329" s="195"/>
      <c r="BH329" s="195"/>
      <c r="BI329" s="195"/>
    </row>
    <row r="330" spans="1:61" x14ac:dyDescent="0.25">
      <c r="A330" t="s">
        <v>343</v>
      </c>
      <c r="B330" t="s">
        <v>344</v>
      </c>
      <c r="C330" t="s">
        <v>910</v>
      </c>
      <c r="D330" t="s">
        <v>90</v>
      </c>
      <c r="E330" t="s">
        <v>911</v>
      </c>
      <c r="F330" t="s">
        <v>912</v>
      </c>
      <c r="G330" t="s">
        <v>913</v>
      </c>
      <c r="H330" t="s">
        <v>914</v>
      </c>
      <c r="I330" t="s">
        <v>915</v>
      </c>
      <c r="J330" t="s">
        <v>103</v>
      </c>
      <c r="K330" t="s">
        <v>931</v>
      </c>
      <c r="L330" t="s">
        <v>97</v>
      </c>
      <c r="M330" t="s">
        <v>937</v>
      </c>
      <c r="N330" t="s">
        <v>938</v>
      </c>
      <c r="AG330" t="s">
        <v>569</v>
      </c>
      <c r="AH330" t="s">
        <v>570</v>
      </c>
      <c r="AI330" t="s">
        <v>353</v>
      </c>
      <c r="AJ330" t="s">
        <v>937</v>
      </c>
      <c r="AK330" s="1">
        <v>24165.5</v>
      </c>
      <c r="AL330" s="1">
        <v>0</v>
      </c>
      <c r="AM330" s="1">
        <v>24165.5</v>
      </c>
      <c r="AN330" s="1">
        <v>12082.75</v>
      </c>
      <c r="AO330" s="1">
        <v>0</v>
      </c>
      <c r="AP330" s="1">
        <v>12082.75</v>
      </c>
      <c r="AQ330" s="1">
        <v>45299</v>
      </c>
      <c r="AR330" s="1">
        <v>0</v>
      </c>
      <c r="AS330" s="1">
        <v>45299</v>
      </c>
      <c r="AT330" s="1">
        <v>0</v>
      </c>
      <c r="BA330" s="195"/>
      <c r="BB330" s="195"/>
      <c r="BC330" s="195"/>
      <c r="BD330" s="195"/>
      <c r="BE330" s="195"/>
      <c r="BF330" s="195"/>
      <c r="BG330" s="195"/>
      <c r="BH330" s="195"/>
      <c r="BI330" s="195"/>
    </row>
    <row r="331" spans="1:61" x14ac:dyDescent="0.25">
      <c r="A331" t="s">
        <v>343</v>
      </c>
      <c r="B331" t="s">
        <v>344</v>
      </c>
      <c r="C331" t="s">
        <v>910</v>
      </c>
      <c r="D331" t="s">
        <v>90</v>
      </c>
      <c r="E331" t="s">
        <v>911</v>
      </c>
      <c r="F331" t="s">
        <v>912</v>
      </c>
      <c r="G331" t="s">
        <v>913</v>
      </c>
      <c r="H331" t="s">
        <v>914</v>
      </c>
      <c r="I331" t="s">
        <v>915</v>
      </c>
      <c r="J331" t="s">
        <v>103</v>
      </c>
      <c r="K331" t="s">
        <v>931</v>
      </c>
      <c r="L331" t="s">
        <v>97</v>
      </c>
      <c r="M331" t="s">
        <v>937</v>
      </c>
      <c r="N331" t="s">
        <v>938</v>
      </c>
      <c r="AG331" t="s">
        <v>571</v>
      </c>
      <c r="AH331" t="s">
        <v>572</v>
      </c>
      <c r="AI331" t="s">
        <v>353</v>
      </c>
      <c r="AJ331" t="s">
        <v>937</v>
      </c>
      <c r="AK331" s="1">
        <v>53312</v>
      </c>
      <c r="AL331" s="1">
        <v>0</v>
      </c>
      <c r="AM331" s="1">
        <v>53312</v>
      </c>
      <c r="AN331" s="1">
        <v>26656</v>
      </c>
      <c r="AO331" s="1">
        <v>0</v>
      </c>
      <c r="AP331" s="1">
        <v>26656</v>
      </c>
      <c r="AQ331" s="1">
        <v>39966.550000000003</v>
      </c>
      <c r="AR331" s="1">
        <v>0</v>
      </c>
      <c r="AS331" s="1">
        <v>39966.550000000003</v>
      </c>
      <c r="AT331" s="1">
        <v>0</v>
      </c>
      <c r="BA331" s="195"/>
      <c r="BB331" s="195"/>
      <c r="BC331" s="195"/>
      <c r="BD331" s="195"/>
      <c r="BE331" s="195"/>
      <c r="BF331" s="195"/>
      <c r="BG331" s="195"/>
      <c r="BH331" s="195"/>
      <c r="BI331" s="195"/>
    </row>
    <row r="332" spans="1:61" x14ac:dyDescent="0.25">
      <c r="A332" t="s">
        <v>343</v>
      </c>
      <c r="B332" t="s">
        <v>344</v>
      </c>
      <c r="C332" t="s">
        <v>910</v>
      </c>
      <c r="D332" t="s">
        <v>90</v>
      </c>
      <c r="E332" t="s">
        <v>911</v>
      </c>
      <c r="F332" t="s">
        <v>912</v>
      </c>
      <c r="G332" t="s">
        <v>913</v>
      </c>
      <c r="H332" t="s">
        <v>914</v>
      </c>
      <c r="I332" t="s">
        <v>915</v>
      </c>
      <c r="J332" t="s">
        <v>103</v>
      </c>
      <c r="K332" t="s">
        <v>931</v>
      </c>
      <c r="L332" t="s">
        <v>97</v>
      </c>
      <c r="M332" t="s">
        <v>937</v>
      </c>
      <c r="N332" t="s">
        <v>938</v>
      </c>
      <c r="AG332" t="s">
        <v>573</v>
      </c>
      <c r="AH332" t="s">
        <v>574</v>
      </c>
      <c r="AI332" t="s">
        <v>353</v>
      </c>
      <c r="AJ332" t="s">
        <v>937</v>
      </c>
      <c r="AK332" s="1">
        <v>14760.6</v>
      </c>
      <c r="AL332" s="1">
        <v>0</v>
      </c>
      <c r="AM332" s="1">
        <v>14760.6</v>
      </c>
      <c r="AN332" s="1">
        <v>7380.3</v>
      </c>
      <c r="AO332" s="1">
        <v>0</v>
      </c>
      <c r="AP332" s="1">
        <v>7380.3</v>
      </c>
      <c r="AQ332" s="1">
        <v>5299.69</v>
      </c>
      <c r="AR332" s="1">
        <v>0</v>
      </c>
      <c r="AS332" s="1">
        <v>5299.69</v>
      </c>
      <c r="AT332" s="1">
        <v>0</v>
      </c>
      <c r="BA332" s="195"/>
      <c r="BB332" s="195"/>
      <c r="BC332" s="195"/>
      <c r="BD332" s="195"/>
      <c r="BE332" s="195"/>
      <c r="BF332" s="195"/>
      <c r="BG332" s="195"/>
      <c r="BH332" s="195"/>
      <c r="BI332" s="195"/>
    </row>
    <row r="333" spans="1:61" x14ac:dyDescent="0.25">
      <c r="A333" t="s">
        <v>343</v>
      </c>
      <c r="B333" t="s">
        <v>344</v>
      </c>
      <c r="C333" t="s">
        <v>910</v>
      </c>
      <c r="D333" t="s">
        <v>90</v>
      </c>
      <c r="E333" t="s">
        <v>911</v>
      </c>
      <c r="F333" t="s">
        <v>912</v>
      </c>
      <c r="G333" t="s">
        <v>913</v>
      </c>
      <c r="H333" t="s">
        <v>914</v>
      </c>
      <c r="I333" t="s">
        <v>915</v>
      </c>
      <c r="J333" t="s">
        <v>103</v>
      </c>
      <c r="K333" t="s">
        <v>931</v>
      </c>
      <c r="L333" t="s">
        <v>97</v>
      </c>
      <c r="M333" t="s">
        <v>937</v>
      </c>
      <c r="N333" t="s">
        <v>938</v>
      </c>
      <c r="AG333" t="s">
        <v>575</v>
      </c>
      <c r="AH333" t="s">
        <v>576</v>
      </c>
      <c r="AI333" t="s">
        <v>353</v>
      </c>
      <c r="AJ333" t="s">
        <v>937</v>
      </c>
      <c r="AK333" s="1">
        <v>7384.72</v>
      </c>
      <c r="AL333" s="1">
        <v>0</v>
      </c>
      <c r="AM333" s="1">
        <v>7384.72</v>
      </c>
      <c r="AN333" s="1">
        <v>3692.36</v>
      </c>
      <c r="AO333" s="1">
        <v>0</v>
      </c>
      <c r="AP333" s="1">
        <v>3692.36</v>
      </c>
      <c r="AQ333" s="1">
        <v>3270.41</v>
      </c>
      <c r="AR333" s="1">
        <v>0</v>
      </c>
      <c r="AS333" s="1">
        <v>3270.41</v>
      </c>
      <c r="AT333" s="1">
        <v>0</v>
      </c>
      <c r="BA333" s="195"/>
      <c r="BB333" s="195"/>
      <c r="BC333" s="195"/>
      <c r="BD333" s="195"/>
      <c r="BE333" s="195"/>
      <c r="BF333" s="195"/>
      <c r="BG333" s="195"/>
      <c r="BH333" s="195"/>
      <c r="BI333" s="195"/>
    </row>
    <row r="334" spans="1:61" x14ac:dyDescent="0.25">
      <c r="A334" t="s">
        <v>343</v>
      </c>
      <c r="B334" t="s">
        <v>344</v>
      </c>
      <c r="C334" t="s">
        <v>910</v>
      </c>
      <c r="D334" t="s">
        <v>90</v>
      </c>
      <c r="E334" t="s">
        <v>911</v>
      </c>
      <c r="F334" t="s">
        <v>912</v>
      </c>
      <c r="G334" t="s">
        <v>913</v>
      </c>
      <c r="H334" t="s">
        <v>914</v>
      </c>
      <c r="I334" t="s">
        <v>915</v>
      </c>
      <c r="J334" t="s">
        <v>103</v>
      </c>
      <c r="K334" t="s">
        <v>931</v>
      </c>
      <c r="L334" t="s">
        <v>97</v>
      </c>
      <c r="M334" t="s">
        <v>937</v>
      </c>
      <c r="N334" t="s">
        <v>938</v>
      </c>
      <c r="AG334" t="s">
        <v>577</v>
      </c>
      <c r="AH334" t="s">
        <v>578</v>
      </c>
      <c r="AI334" t="s">
        <v>353</v>
      </c>
      <c r="AJ334" t="s">
        <v>937</v>
      </c>
      <c r="AK334" s="1">
        <v>25972</v>
      </c>
      <c r="AL334" s="1">
        <v>0</v>
      </c>
      <c r="AM334" s="1">
        <v>25972</v>
      </c>
      <c r="AN334" s="1">
        <v>12986</v>
      </c>
      <c r="AO334" s="1">
        <v>0</v>
      </c>
      <c r="AP334" s="1">
        <v>12986</v>
      </c>
      <c r="AQ334" s="1">
        <v>24108.06</v>
      </c>
      <c r="AR334" s="1">
        <v>0</v>
      </c>
      <c r="AS334" s="1">
        <v>24108.06</v>
      </c>
      <c r="AT334" s="1">
        <v>0</v>
      </c>
      <c r="BA334" s="195"/>
      <c r="BB334" s="195"/>
      <c r="BC334" s="195"/>
      <c r="BD334" s="195"/>
      <c r="BE334" s="195"/>
      <c r="BF334" s="195"/>
      <c r="BG334" s="195"/>
      <c r="BH334" s="195"/>
      <c r="BI334" s="195"/>
    </row>
    <row r="335" spans="1:61" x14ac:dyDescent="0.25">
      <c r="A335" t="s">
        <v>343</v>
      </c>
      <c r="B335" t="s">
        <v>344</v>
      </c>
      <c r="C335" t="s">
        <v>910</v>
      </c>
      <c r="D335" t="s">
        <v>90</v>
      </c>
      <c r="E335" t="s">
        <v>911</v>
      </c>
      <c r="F335" t="s">
        <v>912</v>
      </c>
      <c r="G335" t="s">
        <v>913</v>
      </c>
      <c r="H335" t="s">
        <v>914</v>
      </c>
      <c r="I335" t="s">
        <v>915</v>
      </c>
      <c r="J335" t="s">
        <v>103</v>
      </c>
      <c r="K335" t="s">
        <v>931</v>
      </c>
      <c r="L335" t="s">
        <v>97</v>
      </c>
      <c r="M335" t="s">
        <v>937</v>
      </c>
      <c r="N335" t="s">
        <v>938</v>
      </c>
      <c r="AG335" t="s">
        <v>579</v>
      </c>
      <c r="AH335" t="s">
        <v>580</v>
      </c>
      <c r="AI335" t="s">
        <v>353</v>
      </c>
      <c r="AJ335" t="s">
        <v>937</v>
      </c>
      <c r="AK335" s="1">
        <v>4337.16</v>
      </c>
      <c r="AL335" s="1">
        <v>0</v>
      </c>
      <c r="AM335" s="1">
        <v>4337.16</v>
      </c>
      <c r="AN335" s="1">
        <v>2168.58</v>
      </c>
      <c r="AO335" s="1">
        <v>0</v>
      </c>
      <c r="AP335" s="1">
        <v>2168.58</v>
      </c>
      <c r="AQ335" s="1">
        <v>25475.62</v>
      </c>
      <c r="AR335" s="1">
        <v>0</v>
      </c>
      <c r="AS335" s="1">
        <v>25475.62</v>
      </c>
      <c r="AT335" s="1">
        <v>0</v>
      </c>
      <c r="BA335" s="195"/>
      <c r="BB335" s="195"/>
      <c r="BC335" s="195"/>
      <c r="BD335" s="195"/>
      <c r="BE335" s="195"/>
      <c r="BF335" s="195"/>
      <c r="BG335" s="195"/>
      <c r="BH335" s="195"/>
      <c r="BI335" s="195"/>
    </row>
    <row r="336" spans="1:61" x14ac:dyDescent="0.25">
      <c r="A336" t="s">
        <v>343</v>
      </c>
      <c r="B336" t="s">
        <v>344</v>
      </c>
      <c r="C336" t="s">
        <v>910</v>
      </c>
      <c r="D336" t="s">
        <v>90</v>
      </c>
      <c r="E336" t="s">
        <v>911</v>
      </c>
      <c r="F336" t="s">
        <v>912</v>
      </c>
      <c r="G336" t="s">
        <v>913</v>
      </c>
      <c r="H336" t="s">
        <v>914</v>
      </c>
      <c r="I336" t="s">
        <v>915</v>
      </c>
      <c r="J336" t="s">
        <v>103</v>
      </c>
      <c r="K336" t="s">
        <v>931</v>
      </c>
      <c r="L336" t="s">
        <v>97</v>
      </c>
      <c r="M336" t="s">
        <v>937</v>
      </c>
      <c r="N336" t="s">
        <v>938</v>
      </c>
      <c r="AG336" t="s">
        <v>581</v>
      </c>
      <c r="AH336" t="s">
        <v>582</v>
      </c>
      <c r="AI336" t="s">
        <v>353</v>
      </c>
      <c r="AJ336" t="s">
        <v>937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1154.6400000000001</v>
      </c>
      <c r="AR336" s="1">
        <v>0</v>
      </c>
      <c r="AS336" s="1">
        <v>1154.6400000000001</v>
      </c>
      <c r="AT336" s="1">
        <v>0</v>
      </c>
      <c r="BA336" s="195"/>
      <c r="BB336" s="195"/>
      <c r="BC336" s="195"/>
      <c r="BD336" s="195"/>
      <c r="BE336" s="195"/>
      <c r="BF336" s="195"/>
      <c r="BG336" s="195"/>
      <c r="BH336" s="195"/>
      <c r="BI336" s="195"/>
    </row>
    <row r="337" spans="1:61" x14ac:dyDescent="0.25">
      <c r="A337" t="s">
        <v>343</v>
      </c>
      <c r="B337" t="s">
        <v>344</v>
      </c>
      <c r="C337" t="s">
        <v>910</v>
      </c>
      <c r="D337" t="s">
        <v>90</v>
      </c>
      <c r="E337" t="s">
        <v>911</v>
      </c>
      <c r="F337" t="s">
        <v>912</v>
      </c>
      <c r="G337" t="s">
        <v>913</v>
      </c>
      <c r="H337" t="s">
        <v>914</v>
      </c>
      <c r="I337" t="s">
        <v>915</v>
      </c>
      <c r="J337" t="s">
        <v>103</v>
      </c>
      <c r="K337" t="s">
        <v>931</v>
      </c>
      <c r="L337" t="s">
        <v>97</v>
      </c>
      <c r="M337" t="s">
        <v>937</v>
      </c>
      <c r="N337" t="s">
        <v>938</v>
      </c>
      <c r="AG337" t="s">
        <v>583</v>
      </c>
      <c r="AH337" t="s">
        <v>584</v>
      </c>
      <c r="AI337" t="s">
        <v>353</v>
      </c>
      <c r="AJ337" t="s">
        <v>937</v>
      </c>
      <c r="AK337" s="1">
        <v>114170</v>
      </c>
      <c r="AL337" s="1">
        <v>0</v>
      </c>
      <c r="AM337" s="1">
        <v>114170</v>
      </c>
      <c r="AN337" s="1">
        <v>57085</v>
      </c>
      <c r="AO337" s="1">
        <v>0</v>
      </c>
      <c r="AP337" s="1">
        <v>57085</v>
      </c>
      <c r="AQ337" s="1">
        <v>193059.05</v>
      </c>
      <c r="AR337" s="1">
        <v>0</v>
      </c>
      <c r="AS337" s="1">
        <v>193059.05</v>
      </c>
      <c r="AT337" s="1">
        <v>0</v>
      </c>
      <c r="BA337" s="195"/>
      <c r="BB337" s="195"/>
      <c r="BC337" s="195"/>
      <c r="BD337" s="195"/>
      <c r="BE337" s="195"/>
      <c r="BF337" s="195"/>
      <c r="BG337" s="195"/>
      <c r="BH337" s="195"/>
      <c r="BI337" s="195"/>
    </row>
    <row r="338" spans="1:61" x14ac:dyDescent="0.25">
      <c r="A338" t="s">
        <v>343</v>
      </c>
      <c r="B338" t="s">
        <v>344</v>
      </c>
      <c r="C338" t="s">
        <v>910</v>
      </c>
      <c r="D338" t="s">
        <v>90</v>
      </c>
      <c r="E338" t="s">
        <v>911</v>
      </c>
      <c r="F338" t="s">
        <v>912</v>
      </c>
      <c r="G338" t="s">
        <v>913</v>
      </c>
      <c r="H338" t="s">
        <v>914</v>
      </c>
      <c r="I338" t="s">
        <v>915</v>
      </c>
      <c r="J338" t="s">
        <v>103</v>
      </c>
      <c r="K338" t="s">
        <v>931</v>
      </c>
      <c r="L338" t="s">
        <v>97</v>
      </c>
      <c r="M338" t="s">
        <v>937</v>
      </c>
      <c r="N338" t="s">
        <v>938</v>
      </c>
      <c r="AG338" t="s">
        <v>585</v>
      </c>
      <c r="AH338" t="s">
        <v>586</v>
      </c>
      <c r="AI338" t="s">
        <v>353</v>
      </c>
      <c r="AJ338" t="s">
        <v>937</v>
      </c>
      <c r="AK338" s="1">
        <v>84558.62</v>
      </c>
      <c r="AL338" s="1">
        <v>0</v>
      </c>
      <c r="AM338" s="1">
        <v>84558.62</v>
      </c>
      <c r="AN338" s="1">
        <v>42279.31</v>
      </c>
      <c r="AO338" s="1">
        <v>0</v>
      </c>
      <c r="AP338" s="1">
        <v>42279.31</v>
      </c>
      <c r="AQ338" s="1">
        <v>54369.33</v>
      </c>
      <c r="AR338" s="1">
        <v>0</v>
      </c>
      <c r="AS338" s="1">
        <v>54369.33</v>
      </c>
      <c r="AT338" s="1">
        <v>0</v>
      </c>
      <c r="BA338" s="195"/>
      <c r="BB338" s="195"/>
      <c r="BC338" s="195"/>
      <c r="BD338" s="195"/>
      <c r="BE338" s="195"/>
      <c r="BF338" s="195"/>
      <c r="BG338" s="195"/>
      <c r="BH338" s="195"/>
      <c r="BI338" s="195"/>
    </row>
    <row r="339" spans="1:61" x14ac:dyDescent="0.25">
      <c r="A339" t="s">
        <v>343</v>
      </c>
      <c r="B339" t="s">
        <v>344</v>
      </c>
      <c r="C339" t="s">
        <v>910</v>
      </c>
      <c r="D339" t="s">
        <v>90</v>
      </c>
      <c r="E339" t="s">
        <v>911</v>
      </c>
      <c r="F339" t="s">
        <v>912</v>
      </c>
      <c r="G339" t="s">
        <v>913</v>
      </c>
      <c r="H339" t="s">
        <v>914</v>
      </c>
      <c r="I339" t="s">
        <v>915</v>
      </c>
      <c r="J339" t="s">
        <v>103</v>
      </c>
      <c r="K339" t="s">
        <v>931</v>
      </c>
      <c r="L339" t="s">
        <v>97</v>
      </c>
      <c r="M339" t="s">
        <v>937</v>
      </c>
      <c r="N339" t="s">
        <v>938</v>
      </c>
      <c r="AG339" t="s">
        <v>587</v>
      </c>
      <c r="AH339" t="s">
        <v>588</v>
      </c>
      <c r="AI339" t="s">
        <v>353</v>
      </c>
      <c r="AJ339" t="s">
        <v>937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-754.86</v>
      </c>
      <c r="AR339" s="1">
        <v>0</v>
      </c>
      <c r="AS339" s="1">
        <v>-754.86</v>
      </c>
      <c r="AT339" s="1">
        <v>0</v>
      </c>
      <c r="BA339" s="195"/>
      <c r="BB339" s="195"/>
      <c r="BC339" s="195"/>
      <c r="BD339" s="195"/>
      <c r="BE339" s="195"/>
      <c r="BF339" s="195"/>
      <c r="BG339" s="195"/>
      <c r="BH339" s="195"/>
      <c r="BI339" s="195"/>
    </row>
    <row r="340" spans="1:61" x14ac:dyDescent="0.25">
      <c r="A340" t="s">
        <v>343</v>
      </c>
      <c r="B340" t="s">
        <v>344</v>
      </c>
      <c r="C340" t="s">
        <v>910</v>
      </c>
      <c r="D340" t="s">
        <v>90</v>
      </c>
      <c r="E340" t="s">
        <v>911</v>
      </c>
      <c r="F340" t="s">
        <v>912</v>
      </c>
      <c r="G340" t="s">
        <v>913</v>
      </c>
      <c r="H340" t="s">
        <v>914</v>
      </c>
      <c r="I340" t="s">
        <v>915</v>
      </c>
      <c r="J340" t="s">
        <v>103</v>
      </c>
      <c r="K340" t="s">
        <v>931</v>
      </c>
      <c r="L340" t="s">
        <v>97</v>
      </c>
      <c r="M340" t="s">
        <v>937</v>
      </c>
      <c r="N340" t="s">
        <v>938</v>
      </c>
      <c r="AG340" t="s">
        <v>589</v>
      </c>
      <c r="AH340" t="s">
        <v>590</v>
      </c>
      <c r="AI340" t="s">
        <v>353</v>
      </c>
      <c r="AJ340" t="s">
        <v>937</v>
      </c>
      <c r="AK340" s="1">
        <v>54240</v>
      </c>
      <c r="AL340" s="1">
        <v>0</v>
      </c>
      <c r="AM340" s="1">
        <v>54240</v>
      </c>
      <c r="AN340" s="1">
        <v>27120</v>
      </c>
      <c r="AO340" s="1">
        <v>0</v>
      </c>
      <c r="AP340" s="1">
        <v>27120</v>
      </c>
      <c r="AQ340" s="1">
        <v>27120</v>
      </c>
      <c r="AR340" s="1">
        <v>0</v>
      </c>
      <c r="AS340" s="1">
        <v>27120</v>
      </c>
      <c r="AT340" s="1">
        <v>0</v>
      </c>
      <c r="BA340" s="195"/>
      <c r="BB340" s="195"/>
      <c r="BC340" s="195"/>
      <c r="BD340" s="195"/>
      <c r="BE340" s="195"/>
      <c r="BF340" s="195"/>
      <c r="BG340" s="195"/>
      <c r="BH340" s="195"/>
      <c r="BI340" s="195"/>
    </row>
    <row r="341" spans="1:61" x14ac:dyDescent="0.25">
      <c r="A341" t="s">
        <v>343</v>
      </c>
      <c r="B341" t="s">
        <v>344</v>
      </c>
      <c r="C341" t="s">
        <v>910</v>
      </c>
      <c r="D341" t="s">
        <v>90</v>
      </c>
      <c r="E341" t="s">
        <v>911</v>
      </c>
      <c r="F341" t="s">
        <v>912</v>
      </c>
      <c r="G341" t="s">
        <v>913</v>
      </c>
      <c r="H341" t="s">
        <v>914</v>
      </c>
      <c r="I341" t="s">
        <v>915</v>
      </c>
      <c r="J341" t="s">
        <v>103</v>
      </c>
      <c r="K341" t="s">
        <v>931</v>
      </c>
      <c r="L341" t="s">
        <v>97</v>
      </c>
      <c r="M341" t="s">
        <v>937</v>
      </c>
      <c r="N341" t="s">
        <v>938</v>
      </c>
      <c r="AG341" t="s">
        <v>591</v>
      </c>
      <c r="AH341" t="s">
        <v>592</v>
      </c>
      <c r="AI341" t="s">
        <v>353</v>
      </c>
      <c r="AJ341" t="s">
        <v>937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30000</v>
      </c>
      <c r="AR341" s="1">
        <v>0</v>
      </c>
      <c r="AS341" s="1">
        <v>30000</v>
      </c>
      <c r="AT341" s="1">
        <v>0</v>
      </c>
      <c r="BA341" s="195"/>
      <c r="BB341" s="195"/>
      <c r="BC341" s="195"/>
      <c r="BD341" s="195"/>
      <c r="BE341" s="195"/>
      <c r="BF341" s="195"/>
      <c r="BG341" s="195"/>
      <c r="BH341" s="195"/>
      <c r="BI341" s="195"/>
    </row>
    <row r="342" spans="1:61" x14ac:dyDescent="0.25">
      <c r="A342" t="s">
        <v>343</v>
      </c>
      <c r="B342" t="s">
        <v>344</v>
      </c>
      <c r="C342" t="s">
        <v>910</v>
      </c>
      <c r="D342" t="s">
        <v>90</v>
      </c>
      <c r="E342" t="s">
        <v>911</v>
      </c>
      <c r="F342" t="s">
        <v>912</v>
      </c>
      <c r="G342" t="s">
        <v>913</v>
      </c>
      <c r="H342" t="s">
        <v>914</v>
      </c>
      <c r="I342" t="s">
        <v>915</v>
      </c>
      <c r="J342" t="s">
        <v>103</v>
      </c>
      <c r="K342" t="s">
        <v>931</v>
      </c>
      <c r="L342" t="s">
        <v>97</v>
      </c>
      <c r="M342" t="s">
        <v>937</v>
      </c>
      <c r="N342" t="s">
        <v>938</v>
      </c>
      <c r="AG342" t="s">
        <v>593</v>
      </c>
      <c r="AH342" t="s">
        <v>594</v>
      </c>
      <c r="AI342" t="s">
        <v>353</v>
      </c>
      <c r="AJ342" t="s">
        <v>937</v>
      </c>
      <c r="AK342" s="1">
        <v>6739.3</v>
      </c>
      <c r="AL342" s="1">
        <v>0</v>
      </c>
      <c r="AM342" s="1">
        <v>6739.3</v>
      </c>
      <c r="AN342" s="1">
        <v>3369.65</v>
      </c>
      <c r="AO342" s="1">
        <v>0</v>
      </c>
      <c r="AP342" s="1">
        <v>3369.65</v>
      </c>
      <c r="AQ342" s="1">
        <v>1035.6199999999999</v>
      </c>
      <c r="AR342" s="1">
        <v>0</v>
      </c>
      <c r="AS342" s="1">
        <v>1035.6199999999999</v>
      </c>
      <c r="AT342" s="1">
        <v>0</v>
      </c>
      <c r="BA342" s="195"/>
      <c r="BB342" s="195"/>
      <c r="BC342" s="195"/>
      <c r="BD342" s="195"/>
      <c r="BE342" s="195"/>
      <c r="BF342" s="195"/>
      <c r="BG342" s="195"/>
      <c r="BH342" s="195"/>
      <c r="BI342" s="195"/>
    </row>
    <row r="343" spans="1:61" x14ac:dyDescent="0.25">
      <c r="A343" t="s">
        <v>343</v>
      </c>
      <c r="B343" t="s">
        <v>344</v>
      </c>
      <c r="C343" t="s">
        <v>910</v>
      </c>
      <c r="D343" t="s">
        <v>90</v>
      </c>
      <c r="E343" t="s">
        <v>911</v>
      </c>
      <c r="F343" t="s">
        <v>912</v>
      </c>
      <c r="G343" t="s">
        <v>913</v>
      </c>
      <c r="H343" t="s">
        <v>914</v>
      </c>
      <c r="I343" t="s">
        <v>915</v>
      </c>
      <c r="J343" t="s">
        <v>103</v>
      </c>
      <c r="K343" t="s">
        <v>931</v>
      </c>
      <c r="L343" t="s">
        <v>97</v>
      </c>
      <c r="M343" t="s">
        <v>937</v>
      </c>
      <c r="N343" t="s">
        <v>938</v>
      </c>
      <c r="AG343" t="s">
        <v>595</v>
      </c>
      <c r="AH343" t="s">
        <v>596</v>
      </c>
      <c r="AI343" t="s">
        <v>353</v>
      </c>
      <c r="AJ343" t="s">
        <v>937</v>
      </c>
      <c r="AK343" s="1">
        <v>36000</v>
      </c>
      <c r="AL343" s="1">
        <v>0</v>
      </c>
      <c r="AM343" s="1">
        <v>36000</v>
      </c>
      <c r="AN343" s="1">
        <v>18000</v>
      </c>
      <c r="AO343" s="1">
        <v>0</v>
      </c>
      <c r="AP343" s="1">
        <v>18000</v>
      </c>
      <c r="AQ343" s="1">
        <v>18000</v>
      </c>
      <c r="AR343" s="1">
        <v>0</v>
      </c>
      <c r="AS343" s="1">
        <v>18000</v>
      </c>
      <c r="AT343" s="1">
        <v>0</v>
      </c>
      <c r="BA343" s="195"/>
      <c r="BB343" s="195"/>
      <c r="BC343" s="195"/>
      <c r="BD343" s="195"/>
      <c r="BE343" s="195"/>
      <c r="BF343" s="195"/>
      <c r="BG343" s="195"/>
      <c r="BH343" s="195"/>
      <c r="BI343" s="195"/>
    </row>
    <row r="344" spans="1:61" x14ac:dyDescent="0.25">
      <c r="A344" t="s">
        <v>343</v>
      </c>
      <c r="B344" t="s">
        <v>344</v>
      </c>
      <c r="C344" t="s">
        <v>910</v>
      </c>
      <c r="D344" t="s">
        <v>90</v>
      </c>
      <c r="E344" t="s">
        <v>911</v>
      </c>
      <c r="F344" t="s">
        <v>912</v>
      </c>
      <c r="G344" t="s">
        <v>913</v>
      </c>
      <c r="H344" t="s">
        <v>914</v>
      </c>
      <c r="I344" t="s">
        <v>915</v>
      </c>
      <c r="J344" t="s">
        <v>103</v>
      </c>
      <c r="K344" t="s">
        <v>931</v>
      </c>
      <c r="L344" t="s">
        <v>97</v>
      </c>
      <c r="M344" t="s">
        <v>937</v>
      </c>
      <c r="N344" t="s">
        <v>938</v>
      </c>
      <c r="AG344" t="s">
        <v>597</v>
      </c>
      <c r="AH344" t="s">
        <v>598</v>
      </c>
      <c r="AI344" t="s">
        <v>353</v>
      </c>
      <c r="AJ344" t="s">
        <v>937</v>
      </c>
      <c r="AK344" s="1">
        <v>3496</v>
      </c>
      <c r="AL344" s="1">
        <v>0</v>
      </c>
      <c r="AM344" s="1">
        <v>3496</v>
      </c>
      <c r="AN344" s="1">
        <v>1748</v>
      </c>
      <c r="AO344" s="1">
        <v>0</v>
      </c>
      <c r="AP344" s="1">
        <v>1748</v>
      </c>
      <c r="AQ344" s="1">
        <v>0</v>
      </c>
      <c r="AR344" s="1">
        <v>0</v>
      </c>
      <c r="AS344" s="1">
        <v>0</v>
      </c>
      <c r="AT344" s="1">
        <v>0</v>
      </c>
      <c r="BA344" s="195"/>
      <c r="BB344" s="195"/>
      <c r="BC344" s="195"/>
      <c r="BD344" s="195"/>
      <c r="BE344" s="195"/>
      <c r="BF344" s="195"/>
      <c r="BG344" s="195"/>
      <c r="BH344" s="195"/>
      <c r="BI344" s="195"/>
    </row>
    <row r="345" spans="1:61" x14ac:dyDescent="0.25">
      <c r="A345" t="s">
        <v>343</v>
      </c>
      <c r="B345" t="s">
        <v>344</v>
      </c>
      <c r="C345" t="s">
        <v>910</v>
      </c>
      <c r="D345" t="s">
        <v>90</v>
      </c>
      <c r="E345" t="s">
        <v>911</v>
      </c>
      <c r="F345" t="s">
        <v>912</v>
      </c>
      <c r="G345" t="s">
        <v>913</v>
      </c>
      <c r="H345" t="s">
        <v>914</v>
      </c>
      <c r="I345" t="s">
        <v>915</v>
      </c>
      <c r="J345" t="s">
        <v>103</v>
      </c>
      <c r="K345" t="s">
        <v>931</v>
      </c>
      <c r="L345" t="s">
        <v>97</v>
      </c>
      <c r="M345" t="s">
        <v>937</v>
      </c>
      <c r="N345" t="s">
        <v>938</v>
      </c>
      <c r="AG345" t="s">
        <v>599</v>
      </c>
      <c r="AH345" t="s">
        <v>600</v>
      </c>
      <c r="AI345" t="s">
        <v>353</v>
      </c>
      <c r="AJ345" t="s">
        <v>937</v>
      </c>
      <c r="AK345" s="1">
        <v>345608.52</v>
      </c>
      <c r="AL345" s="1">
        <v>0</v>
      </c>
      <c r="AM345" s="1">
        <v>345608.52</v>
      </c>
      <c r="AN345" s="1">
        <v>172804.26</v>
      </c>
      <c r="AO345" s="1">
        <v>0</v>
      </c>
      <c r="AP345" s="1">
        <v>172804.26</v>
      </c>
      <c r="AQ345" s="1">
        <v>199292.02</v>
      </c>
      <c r="AR345" s="1">
        <v>0</v>
      </c>
      <c r="AS345" s="1">
        <v>199292.02</v>
      </c>
      <c r="AT345" s="1">
        <v>0</v>
      </c>
      <c r="BA345" s="195"/>
      <c r="BB345" s="195"/>
      <c r="BC345" s="195"/>
      <c r="BD345" s="195"/>
      <c r="BE345" s="195"/>
      <c r="BF345" s="195"/>
      <c r="BG345" s="195"/>
      <c r="BH345" s="195"/>
      <c r="BI345" s="195"/>
    </row>
    <row r="346" spans="1:61" x14ac:dyDescent="0.25">
      <c r="A346" t="s">
        <v>343</v>
      </c>
      <c r="B346" t="s">
        <v>344</v>
      </c>
      <c r="C346" t="s">
        <v>910</v>
      </c>
      <c r="D346" t="s">
        <v>90</v>
      </c>
      <c r="E346" t="s">
        <v>911</v>
      </c>
      <c r="F346" t="s">
        <v>912</v>
      </c>
      <c r="G346" t="s">
        <v>913</v>
      </c>
      <c r="H346" t="s">
        <v>914</v>
      </c>
      <c r="I346" t="s">
        <v>915</v>
      </c>
      <c r="J346" t="s">
        <v>103</v>
      </c>
      <c r="K346" t="s">
        <v>931</v>
      </c>
      <c r="L346" t="s">
        <v>97</v>
      </c>
      <c r="M346" t="s">
        <v>937</v>
      </c>
      <c r="N346" t="s">
        <v>938</v>
      </c>
      <c r="AG346" t="s">
        <v>601</v>
      </c>
      <c r="AH346" t="s">
        <v>602</v>
      </c>
      <c r="AI346" t="s">
        <v>353</v>
      </c>
      <c r="AJ346" t="s">
        <v>937</v>
      </c>
      <c r="AK346" s="1">
        <v>226.5</v>
      </c>
      <c r="AL346" s="1">
        <v>0</v>
      </c>
      <c r="AM346" s="1">
        <v>226.5</v>
      </c>
      <c r="AN346" s="1">
        <v>113.25</v>
      </c>
      <c r="AO346" s="1">
        <v>0</v>
      </c>
      <c r="AP346" s="1">
        <v>113.25</v>
      </c>
      <c r="AQ346" s="1">
        <v>118.4</v>
      </c>
      <c r="AR346" s="1">
        <v>0</v>
      </c>
      <c r="AS346" s="1">
        <v>118.4</v>
      </c>
      <c r="AT346" s="1">
        <v>0</v>
      </c>
      <c r="BA346" s="195"/>
      <c r="BB346" s="195"/>
      <c r="BC346" s="195"/>
      <c r="BD346" s="195"/>
      <c r="BE346" s="195"/>
      <c r="BF346" s="195"/>
      <c r="BG346" s="195"/>
      <c r="BH346" s="195"/>
      <c r="BI346" s="195"/>
    </row>
    <row r="347" spans="1:61" x14ac:dyDescent="0.25">
      <c r="A347" t="s">
        <v>343</v>
      </c>
      <c r="B347" t="s">
        <v>344</v>
      </c>
      <c r="C347" t="s">
        <v>910</v>
      </c>
      <c r="D347" t="s">
        <v>90</v>
      </c>
      <c r="E347" t="s">
        <v>911</v>
      </c>
      <c r="F347" t="s">
        <v>912</v>
      </c>
      <c r="G347" t="s">
        <v>913</v>
      </c>
      <c r="H347" t="s">
        <v>914</v>
      </c>
      <c r="I347" t="s">
        <v>915</v>
      </c>
      <c r="J347" t="s">
        <v>103</v>
      </c>
      <c r="K347" t="s">
        <v>931</v>
      </c>
      <c r="L347" t="s">
        <v>97</v>
      </c>
      <c r="M347" t="s">
        <v>937</v>
      </c>
      <c r="N347" t="s">
        <v>938</v>
      </c>
      <c r="AG347" t="s">
        <v>603</v>
      </c>
      <c r="AH347" t="s">
        <v>604</v>
      </c>
      <c r="AI347" t="s">
        <v>353</v>
      </c>
      <c r="AJ347" t="s">
        <v>937</v>
      </c>
      <c r="AK347" s="1">
        <v>297255.86</v>
      </c>
      <c r="AL347" s="1">
        <v>0</v>
      </c>
      <c r="AM347" s="1">
        <v>297255.86</v>
      </c>
      <c r="AN347" s="1">
        <v>148627.93</v>
      </c>
      <c r="AO347" s="1">
        <v>0</v>
      </c>
      <c r="AP347" s="1">
        <v>148627.93</v>
      </c>
      <c r="AQ347" s="1">
        <v>125110.38</v>
      </c>
      <c r="AR347" s="1">
        <v>0</v>
      </c>
      <c r="AS347" s="1">
        <v>125110.38</v>
      </c>
      <c r="AT347" s="1">
        <v>0</v>
      </c>
      <c r="BA347" s="195"/>
      <c r="BB347" s="195"/>
      <c r="BC347" s="195"/>
      <c r="BD347" s="195"/>
      <c r="BE347" s="195"/>
      <c r="BF347" s="195"/>
      <c r="BG347" s="195"/>
      <c r="BH347" s="195"/>
      <c r="BI347" s="195"/>
    </row>
    <row r="348" spans="1:61" x14ac:dyDescent="0.25">
      <c r="A348" t="s">
        <v>343</v>
      </c>
      <c r="B348" t="s">
        <v>344</v>
      </c>
      <c r="C348" t="s">
        <v>910</v>
      </c>
      <c r="D348" t="s">
        <v>90</v>
      </c>
      <c r="E348" t="s">
        <v>911</v>
      </c>
      <c r="F348" t="s">
        <v>912</v>
      </c>
      <c r="G348" t="s">
        <v>913</v>
      </c>
      <c r="H348" t="s">
        <v>914</v>
      </c>
      <c r="I348" t="s">
        <v>915</v>
      </c>
      <c r="J348" t="s">
        <v>103</v>
      </c>
      <c r="K348" t="s">
        <v>931</v>
      </c>
      <c r="L348" t="s">
        <v>97</v>
      </c>
      <c r="M348" t="s">
        <v>937</v>
      </c>
      <c r="N348" t="s">
        <v>938</v>
      </c>
      <c r="AG348" t="s">
        <v>605</v>
      </c>
      <c r="AH348" t="s">
        <v>606</v>
      </c>
      <c r="AI348" t="s">
        <v>353</v>
      </c>
      <c r="AJ348" t="s">
        <v>937</v>
      </c>
      <c r="AK348" s="1">
        <v>70119.3</v>
      </c>
      <c r="AL348" s="1">
        <v>0</v>
      </c>
      <c r="AM348" s="1">
        <v>70119.3</v>
      </c>
      <c r="AN348" s="1">
        <v>35059.65</v>
      </c>
      <c r="AO348" s="1">
        <v>0</v>
      </c>
      <c r="AP348" s="1">
        <v>35059.65</v>
      </c>
      <c r="AQ348" s="1">
        <v>20006.8</v>
      </c>
      <c r="AR348" s="1">
        <v>0</v>
      </c>
      <c r="AS348" s="1">
        <v>20006.8</v>
      </c>
      <c r="AT348" s="1">
        <v>0</v>
      </c>
      <c r="BA348" s="195"/>
      <c r="BB348" s="195"/>
      <c r="BC348" s="195"/>
      <c r="BD348" s="195"/>
      <c r="BE348" s="195"/>
      <c r="BF348" s="195"/>
      <c r="BG348" s="195"/>
      <c r="BH348" s="195"/>
      <c r="BI348" s="195"/>
    </row>
    <row r="349" spans="1:61" x14ac:dyDescent="0.25">
      <c r="A349" t="s">
        <v>343</v>
      </c>
      <c r="B349" t="s">
        <v>344</v>
      </c>
      <c r="C349" t="s">
        <v>910</v>
      </c>
      <c r="D349" t="s">
        <v>90</v>
      </c>
      <c r="E349" t="s">
        <v>911</v>
      </c>
      <c r="F349" t="s">
        <v>912</v>
      </c>
      <c r="G349" t="s">
        <v>913</v>
      </c>
      <c r="H349" t="s">
        <v>914</v>
      </c>
      <c r="I349" t="s">
        <v>915</v>
      </c>
      <c r="J349" t="s">
        <v>103</v>
      </c>
      <c r="K349" t="s">
        <v>931</v>
      </c>
      <c r="L349" t="s">
        <v>97</v>
      </c>
      <c r="M349" t="s">
        <v>937</v>
      </c>
      <c r="N349" t="s">
        <v>938</v>
      </c>
      <c r="AG349" t="s">
        <v>607</v>
      </c>
      <c r="AH349" t="s">
        <v>608</v>
      </c>
      <c r="AI349" t="s">
        <v>353</v>
      </c>
      <c r="AJ349" t="s">
        <v>937</v>
      </c>
      <c r="AK349" s="1">
        <v>10966.94</v>
      </c>
      <c r="AL349" s="1">
        <v>0</v>
      </c>
      <c r="AM349" s="1">
        <v>10966.94</v>
      </c>
      <c r="AN349" s="1">
        <v>5483.47</v>
      </c>
      <c r="AO349" s="1">
        <v>0</v>
      </c>
      <c r="AP349" s="1">
        <v>5483.47</v>
      </c>
      <c r="AQ349" s="1">
        <v>16959.97</v>
      </c>
      <c r="AR349" s="1">
        <v>0</v>
      </c>
      <c r="AS349" s="1">
        <v>16959.97</v>
      </c>
      <c r="AT349" s="1">
        <v>0</v>
      </c>
      <c r="BA349" s="195"/>
      <c r="BB349" s="195"/>
      <c r="BC349" s="195"/>
      <c r="BD349" s="195"/>
      <c r="BE349" s="195"/>
      <c r="BF349" s="195"/>
      <c r="BG349" s="195"/>
      <c r="BH349" s="195"/>
      <c r="BI349" s="195"/>
    </row>
    <row r="350" spans="1:61" x14ac:dyDescent="0.25">
      <c r="A350" t="s">
        <v>343</v>
      </c>
      <c r="B350" t="s">
        <v>344</v>
      </c>
      <c r="C350" t="s">
        <v>910</v>
      </c>
      <c r="D350" t="s">
        <v>90</v>
      </c>
      <c r="E350" t="s">
        <v>911</v>
      </c>
      <c r="F350" t="s">
        <v>912</v>
      </c>
      <c r="G350" t="s">
        <v>913</v>
      </c>
      <c r="H350" t="s">
        <v>914</v>
      </c>
      <c r="I350" t="s">
        <v>915</v>
      </c>
      <c r="J350" t="s">
        <v>103</v>
      </c>
      <c r="K350" t="s">
        <v>931</v>
      </c>
      <c r="L350" t="s">
        <v>97</v>
      </c>
      <c r="M350" t="s">
        <v>937</v>
      </c>
      <c r="N350" t="s">
        <v>938</v>
      </c>
      <c r="AG350" t="s">
        <v>609</v>
      </c>
      <c r="AH350" t="s">
        <v>610</v>
      </c>
      <c r="AI350" t="s">
        <v>353</v>
      </c>
      <c r="AJ350" t="s">
        <v>937</v>
      </c>
      <c r="AK350" s="1">
        <v>73721.919999999998</v>
      </c>
      <c r="AL350" s="1">
        <v>0</v>
      </c>
      <c r="AM350" s="1">
        <v>73721.919999999998</v>
      </c>
      <c r="AN350" s="1">
        <v>36860.959999999999</v>
      </c>
      <c r="AO350" s="1">
        <v>0</v>
      </c>
      <c r="AP350" s="1">
        <v>36860.959999999999</v>
      </c>
      <c r="AQ350" s="1">
        <v>38145.040000000001</v>
      </c>
      <c r="AR350" s="1">
        <v>0</v>
      </c>
      <c r="AS350" s="1">
        <v>38145.040000000001</v>
      </c>
      <c r="AT350" s="1">
        <v>0</v>
      </c>
      <c r="BA350" s="195"/>
      <c r="BB350" s="195"/>
      <c r="BC350" s="195"/>
      <c r="BD350" s="195"/>
      <c r="BE350" s="195"/>
      <c r="BF350" s="195"/>
      <c r="BG350" s="195"/>
      <c r="BH350" s="195"/>
      <c r="BI350" s="195"/>
    </row>
    <row r="351" spans="1:61" x14ac:dyDescent="0.25">
      <c r="A351" t="s">
        <v>343</v>
      </c>
      <c r="B351" t="s">
        <v>344</v>
      </c>
      <c r="C351" t="s">
        <v>910</v>
      </c>
      <c r="D351" t="s">
        <v>90</v>
      </c>
      <c r="E351" t="s">
        <v>911</v>
      </c>
      <c r="F351" t="s">
        <v>912</v>
      </c>
      <c r="G351" t="s">
        <v>913</v>
      </c>
      <c r="H351" t="s">
        <v>914</v>
      </c>
      <c r="I351" t="s">
        <v>915</v>
      </c>
      <c r="J351" t="s">
        <v>103</v>
      </c>
      <c r="K351" t="s">
        <v>931</v>
      </c>
      <c r="L351" t="s">
        <v>97</v>
      </c>
      <c r="M351" t="s">
        <v>937</v>
      </c>
      <c r="N351" t="s">
        <v>938</v>
      </c>
      <c r="AG351" t="s">
        <v>611</v>
      </c>
      <c r="AH351" t="s">
        <v>612</v>
      </c>
      <c r="AI351" t="s">
        <v>353</v>
      </c>
      <c r="AJ351" t="s">
        <v>937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36.049999999999997</v>
      </c>
      <c r="AR351" s="1">
        <v>0</v>
      </c>
      <c r="AS351" s="1">
        <v>36.049999999999997</v>
      </c>
      <c r="AT351" s="1">
        <v>0</v>
      </c>
      <c r="BA351" s="195"/>
      <c r="BB351" s="195"/>
      <c r="BC351" s="195"/>
      <c r="BD351" s="195"/>
      <c r="BE351" s="195"/>
      <c r="BF351" s="195"/>
      <c r="BG351" s="195"/>
      <c r="BH351" s="195"/>
      <c r="BI351" s="195"/>
    </row>
    <row r="352" spans="1:61" x14ac:dyDescent="0.25">
      <c r="A352" t="s">
        <v>343</v>
      </c>
      <c r="B352" t="s">
        <v>344</v>
      </c>
      <c r="C352" t="s">
        <v>910</v>
      </c>
      <c r="D352" t="s">
        <v>90</v>
      </c>
      <c r="E352" t="s">
        <v>911</v>
      </c>
      <c r="F352" t="s">
        <v>912</v>
      </c>
      <c r="G352" t="s">
        <v>913</v>
      </c>
      <c r="H352" t="s">
        <v>914</v>
      </c>
      <c r="I352" t="s">
        <v>915</v>
      </c>
      <c r="J352" t="s">
        <v>103</v>
      </c>
      <c r="K352" t="s">
        <v>931</v>
      </c>
      <c r="L352" t="s">
        <v>97</v>
      </c>
      <c r="M352" t="s">
        <v>937</v>
      </c>
      <c r="N352" t="s">
        <v>938</v>
      </c>
      <c r="AG352" t="s">
        <v>613</v>
      </c>
      <c r="AH352" t="s">
        <v>614</v>
      </c>
      <c r="AI352" t="s">
        <v>353</v>
      </c>
      <c r="AJ352" t="s">
        <v>937</v>
      </c>
      <c r="AK352" s="1">
        <v>2890.42</v>
      </c>
      <c r="AL352" s="1">
        <v>0</v>
      </c>
      <c r="AM352" s="1">
        <v>2890.42</v>
      </c>
      <c r="AN352" s="1">
        <v>1445.21</v>
      </c>
      <c r="AO352" s="1">
        <v>0</v>
      </c>
      <c r="AP352" s="1">
        <v>1445.21</v>
      </c>
      <c r="AQ352" s="1">
        <v>760.4</v>
      </c>
      <c r="AR352" s="1">
        <v>0</v>
      </c>
      <c r="AS352" s="1">
        <v>760.4</v>
      </c>
      <c r="AT352" s="1">
        <v>0</v>
      </c>
      <c r="BA352" s="195"/>
      <c r="BB352" s="195"/>
      <c r="BC352" s="195"/>
      <c r="BD352" s="195"/>
      <c r="BE352" s="195"/>
      <c r="BF352" s="195"/>
      <c r="BG352" s="195"/>
      <c r="BH352" s="195"/>
      <c r="BI352" s="195"/>
    </row>
    <row r="353" spans="1:61" x14ac:dyDescent="0.25">
      <c r="A353" t="s">
        <v>343</v>
      </c>
      <c r="B353" t="s">
        <v>344</v>
      </c>
      <c r="C353" t="s">
        <v>910</v>
      </c>
      <c r="D353" t="s">
        <v>90</v>
      </c>
      <c r="E353" t="s">
        <v>911</v>
      </c>
      <c r="F353" t="s">
        <v>912</v>
      </c>
      <c r="G353" t="s">
        <v>913</v>
      </c>
      <c r="H353" t="s">
        <v>914</v>
      </c>
      <c r="I353" t="s">
        <v>915</v>
      </c>
      <c r="J353" t="s">
        <v>103</v>
      </c>
      <c r="K353" t="s">
        <v>931</v>
      </c>
      <c r="L353" t="s">
        <v>97</v>
      </c>
      <c r="M353" t="s">
        <v>937</v>
      </c>
      <c r="N353" t="s">
        <v>938</v>
      </c>
      <c r="AG353" t="s">
        <v>615</v>
      </c>
      <c r="AH353" t="s">
        <v>616</v>
      </c>
      <c r="AI353" t="s">
        <v>353</v>
      </c>
      <c r="AJ353" t="s">
        <v>937</v>
      </c>
      <c r="AK353" s="1">
        <v>1000</v>
      </c>
      <c r="AL353" s="1">
        <v>0</v>
      </c>
      <c r="AM353" s="1">
        <v>1000</v>
      </c>
      <c r="AN353" s="1">
        <v>500</v>
      </c>
      <c r="AO353" s="1">
        <v>0</v>
      </c>
      <c r="AP353" s="1">
        <v>500</v>
      </c>
      <c r="AQ353" s="1">
        <v>0</v>
      </c>
      <c r="AR353" s="1">
        <v>0</v>
      </c>
      <c r="AS353" s="1">
        <v>0</v>
      </c>
      <c r="AT353" s="1">
        <v>0</v>
      </c>
      <c r="BA353" s="195"/>
      <c r="BB353" s="195"/>
      <c r="BC353" s="195"/>
      <c r="BD353" s="195"/>
      <c r="BE353" s="195"/>
      <c r="BF353" s="195"/>
      <c r="BG353" s="195"/>
      <c r="BH353" s="195"/>
      <c r="BI353" s="195"/>
    </row>
    <row r="354" spans="1:61" x14ac:dyDescent="0.25">
      <c r="A354" t="s">
        <v>343</v>
      </c>
      <c r="B354" t="s">
        <v>344</v>
      </c>
      <c r="C354" t="s">
        <v>910</v>
      </c>
      <c r="D354" t="s">
        <v>90</v>
      </c>
      <c r="E354" t="s">
        <v>911</v>
      </c>
      <c r="F354" t="s">
        <v>912</v>
      </c>
      <c r="G354" t="s">
        <v>913</v>
      </c>
      <c r="H354" t="s">
        <v>914</v>
      </c>
      <c r="I354" t="s">
        <v>915</v>
      </c>
      <c r="J354" t="s">
        <v>103</v>
      </c>
      <c r="K354" t="s">
        <v>931</v>
      </c>
      <c r="L354" t="s">
        <v>97</v>
      </c>
      <c r="M354" t="s">
        <v>937</v>
      </c>
      <c r="N354" t="s">
        <v>938</v>
      </c>
      <c r="AG354" t="s">
        <v>617</v>
      </c>
      <c r="AH354" t="s">
        <v>618</v>
      </c>
      <c r="AI354" t="s">
        <v>353</v>
      </c>
      <c r="AJ354" t="s">
        <v>937</v>
      </c>
      <c r="AK354" s="1">
        <v>1763.04</v>
      </c>
      <c r="AL354" s="1">
        <v>0</v>
      </c>
      <c r="AM354" s="1">
        <v>1763.04</v>
      </c>
      <c r="AN354" s="1">
        <v>881.52</v>
      </c>
      <c r="AO354" s="1">
        <v>0</v>
      </c>
      <c r="AP354" s="1">
        <v>881.52</v>
      </c>
      <c r="AQ354" s="1">
        <v>0</v>
      </c>
      <c r="AR354" s="1">
        <v>0</v>
      </c>
      <c r="AS354" s="1">
        <v>0</v>
      </c>
      <c r="AT354" s="1">
        <v>0</v>
      </c>
      <c r="BA354" s="195"/>
      <c r="BB354" s="195"/>
      <c r="BC354" s="195"/>
      <c r="BD354" s="195"/>
      <c r="BE354" s="195"/>
      <c r="BF354" s="195"/>
      <c r="BG354" s="195"/>
      <c r="BH354" s="195"/>
      <c r="BI354" s="195"/>
    </row>
    <row r="355" spans="1:61" x14ac:dyDescent="0.25">
      <c r="A355" t="s">
        <v>343</v>
      </c>
      <c r="B355" t="s">
        <v>344</v>
      </c>
      <c r="C355" t="s">
        <v>910</v>
      </c>
      <c r="D355" t="s">
        <v>90</v>
      </c>
      <c r="E355" t="s">
        <v>911</v>
      </c>
      <c r="F355" t="s">
        <v>912</v>
      </c>
      <c r="G355" t="s">
        <v>913</v>
      </c>
      <c r="H355" t="s">
        <v>914</v>
      </c>
      <c r="I355" t="s">
        <v>915</v>
      </c>
      <c r="J355" t="s">
        <v>103</v>
      </c>
      <c r="K355" t="s">
        <v>931</v>
      </c>
      <c r="L355" t="s">
        <v>97</v>
      </c>
      <c r="M355" t="s">
        <v>937</v>
      </c>
      <c r="N355" t="s">
        <v>938</v>
      </c>
      <c r="AG355" t="s">
        <v>619</v>
      </c>
      <c r="AH355" t="s">
        <v>620</v>
      </c>
      <c r="AI355" t="s">
        <v>353</v>
      </c>
      <c r="AJ355" t="s">
        <v>937</v>
      </c>
      <c r="AK355" s="1">
        <v>301090.08</v>
      </c>
      <c r="AL355" s="1">
        <v>0</v>
      </c>
      <c r="AM355" s="1">
        <v>301090.08</v>
      </c>
      <c r="AN355" s="1">
        <v>150545.04</v>
      </c>
      <c r="AO355" s="1">
        <v>0</v>
      </c>
      <c r="AP355" s="1">
        <v>150545.04</v>
      </c>
      <c r="AQ355" s="1">
        <v>168883.98</v>
      </c>
      <c r="AR355" s="1">
        <v>0</v>
      </c>
      <c r="AS355" s="1">
        <v>168883.98</v>
      </c>
      <c r="AT355" s="1">
        <v>0</v>
      </c>
      <c r="BA355" s="195"/>
      <c r="BB355" s="195"/>
      <c r="BC355" s="195"/>
      <c r="BD355" s="195"/>
      <c r="BE355" s="195"/>
      <c r="BF355" s="195"/>
      <c r="BG355" s="195"/>
      <c r="BH355" s="195"/>
      <c r="BI355" s="195"/>
    </row>
    <row r="356" spans="1:61" x14ac:dyDescent="0.25">
      <c r="A356" t="s">
        <v>343</v>
      </c>
      <c r="B356" t="s">
        <v>344</v>
      </c>
      <c r="C356" t="s">
        <v>910</v>
      </c>
      <c r="D356" t="s">
        <v>90</v>
      </c>
      <c r="E356" t="s">
        <v>911</v>
      </c>
      <c r="F356" t="s">
        <v>912</v>
      </c>
      <c r="G356" t="s">
        <v>913</v>
      </c>
      <c r="H356" t="s">
        <v>914</v>
      </c>
      <c r="I356" t="s">
        <v>915</v>
      </c>
      <c r="J356" t="s">
        <v>103</v>
      </c>
      <c r="K356" t="s">
        <v>931</v>
      </c>
      <c r="L356" t="s">
        <v>97</v>
      </c>
      <c r="M356" t="s">
        <v>937</v>
      </c>
      <c r="N356" t="s">
        <v>938</v>
      </c>
      <c r="AG356" t="s">
        <v>621</v>
      </c>
      <c r="AH356" t="s">
        <v>622</v>
      </c>
      <c r="AI356" t="s">
        <v>353</v>
      </c>
      <c r="AJ356" t="s">
        <v>937</v>
      </c>
      <c r="AK356" s="1">
        <v>2120</v>
      </c>
      <c r="AL356" s="1">
        <v>0</v>
      </c>
      <c r="AM356" s="1">
        <v>2120</v>
      </c>
      <c r="AN356" s="1">
        <v>1060</v>
      </c>
      <c r="AO356" s="1">
        <v>0</v>
      </c>
      <c r="AP356" s="1">
        <v>1060</v>
      </c>
      <c r="AQ356" s="1">
        <v>6574.62</v>
      </c>
      <c r="AR356" s="1">
        <v>0</v>
      </c>
      <c r="AS356" s="1">
        <v>6574.62</v>
      </c>
      <c r="AT356" s="1">
        <v>0</v>
      </c>
      <c r="BA356" s="195"/>
      <c r="BB356" s="195"/>
      <c r="BC356" s="195"/>
      <c r="BD356" s="195"/>
      <c r="BE356" s="195"/>
      <c r="BF356" s="195"/>
      <c r="BG356" s="195"/>
      <c r="BH356" s="195"/>
      <c r="BI356" s="195"/>
    </row>
    <row r="357" spans="1:61" x14ac:dyDescent="0.25">
      <c r="A357" t="s">
        <v>343</v>
      </c>
      <c r="B357" t="s">
        <v>344</v>
      </c>
      <c r="C357" t="s">
        <v>910</v>
      </c>
      <c r="D357" t="s">
        <v>90</v>
      </c>
      <c r="E357" t="s">
        <v>911</v>
      </c>
      <c r="F357" t="s">
        <v>912</v>
      </c>
      <c r="G357" t="s">
        <v>913</v>
      </c>
      <c r="H357" t="s">
        <v>914</v>
      </c>
      <c r="I357" t="s">
        <v>915</v>
      </c>
      <c r="J357" t="s">
        <v>103</v>
      </c>
      <c r="K357" t="s">
        <v>931</v>
      </c>
      <c r="L357" t="s">
        <v>97</v>
      </c>
      <c r="M357" t="s">
        <v>937</v>
      </c>
      <c r="N357" t="s">
        <v>938</v>
      </c>
      <c r="AG357" t="s">
        <v>623</v>
      </c>
      <c r="AH357" t="s">
        <v>624</v>
      </c>
      <c r="AI357" t="s">
        <v>353</v>
      </c>
      <c r="AJ357" t="s">
        <v>937</v>
      </c>
      <c r="AK357" s="1">
        <v>796913.86</v>
      </c>
      <c r="AL357" s="1">
        <v>0</v>
      </c>
      <c r="AM357" s="1">
        <v>796913.86</v>
      </c>
      <c r="AN357" s="1">
        <v>398456.93</v>
      </c>
      <c r="AO357" s="1">
        <v>0</v>
      </c>
      <c r="AP357" s="1">
        <v>398456.93</v>
      </c>
      <c r="AQ357" s="1">
        <v>466585.89</v>
      </c>
      <c r="AR357" s="1">
        <v>0</v>
      </c>
      <c r="AS357" s="1">
        <v>466585.89</v>
      </c>
      <c r="AT357" s="1">
        <v>0</v>
      </c>
      <c r="BA357" s="195"/>
      <c r="BB357" s="195"/>
      <c r="BC357" s="195"/>
      <c r="BD357" s="195"/>
      <c r="BE357" s="195"/>
      <c r="BF357" s="195"/>
      <c r="BG357" s="195"/>
      <c r="BH357" s="195"/>
      <c r="BI357" s="195"/>
    </row>
    <row r="358" spans="1:61" x14ac:dyDescent="0.25">
      <c r="A358" t="s">
        <v>343</v>
      </c>
      <c r="B358" t="s">
        <v>344</v>
      </c>
      <c r="C358" t="s">
        <v>910</v>
      </c>
      <c r="D358" t="s">
        <v>90</v>
      </c>
      <c r="E358" t="s">
        <v>911</v>
      </c>
      <c r="F358" t="s">
        <v>912</v>
      </c>
      <c r="G358" t="s">
        <v>913</v>
      </c>
      <c r="H358" t="s">
        <v>914</v>
      </c>
      <c r="I358" t="s">
        <v>915</v>
      </c>
      <c r="J358" t="s">
        <v>103</v>
      </c>
      <c r="K358" t="s">
        <v>931</v>
      </c>
      <c r="L358" t="s">
        <v>97</v>
      </c>
      <c r="M358" t="s">
        <v>937</v>
      </c>
      <c r="N358" t="s">
        <v>938</v>
      </c>
      <c r="AG358" t="s">
        <v>625</v>
      </c>
      <c r="AH358" t="s">
        <v>626</v>
      </c>
      <c r="AI358" t="s">
        <v>353</v>
      </c>
      <c r="AJ358" t="s">
        <v>937</v>
      </c>
      <c r="AK358" s="1">
        <v>31581.200000000001</v>
      </c>
      <c r="AL358" s="1">
        <v>0</v>
      </c>
      <c r="AM358" s="1">
        <v>31581.200000000001</v>
      </c>
      <c r="AN358" s="1">
        <v>15790.6</v>
      </c>
      <c r="AO358" s="1">
        <v>0</v>
      </c>
      <c r="AP358" s="1">
        <v>15790.6</v>
      </c>
      <c r="AQ358" s="1">
        <v>0</v>
      </c>
      <c r="AR358" s="1">
        <v>0</v>
      </c>
      <c r="AS358" s="1">
        <v>0</v>
      </c>
      <c r="AT358" s="1">
        <v>0</v>
      </c>
      <c r="BA358" s="195"/>
      <c r="BB358" s="195"/>
      <c r="BC358" s="195"/>
      <c r="BD358" s="195"/>
      <c r="BE358" s="195"/>
      <c r="BF358" s="195"/>
      <c r="BG358" s="195"/>
      <c r="BH358" s="195"/>
      <c r="BI358" s="195"/>
    </row>
    <row r="359" spans="1:61" x14ac:dyDescent="0.25">
      <c r="A359" t="s">
        <v>343</v>
      </c>
      <c r="B359" t="s">
        <v>344</v>
      </c>
      <c r="C359" t="s">
        <v>910</v>
      </c>
      <c r="D359" t="s">
        <v>90</v>
      </c>
      <c r="E359" t="s">
        <v>911</v>
      </c>
      <c r="F359" t="s">
        <v>912</v>
      </c>
      <c r="G359" t="s">
        <v>913</v>
      </c>
      <c r="H359" t="s">
        <v>914</v>
      </c>
      <c r="I359" t="s">
        <v>915</v>
      </c>
      <c r="J359" t="s">
        <v>103</v>
      </c>
      <c r="K359" t="s">
        <v>931</v>
      </c>
      <c r="L359" t="s">
        <v>97</v>
      </c>
      <c r="M359" t="s">
        <v>937</v>
      </c>
      <c r="N359" t="s">
        <v>938</v>
      </c>
      <c r="AG359" t="s">
        <v>627</v>
      </c>
      <c r="AH359" t="s">
        <v>628</v>
      </c>
      <c r="AI359" t="s">
        <v>353</v>
      </c>
      <c r="AJ359" t="s">
        <v>937</v>
      </c>
      <c r="AK359" s="1">
        <v>6925.1</v>
      </c>
      <c r="AL359" s="1">
        <v>0</v>
      </c>
      <c r="AM359" s="1">
        <v>6925.1</v>
      </c>
      <c r="AN359" s="1">
        <v>3462.55</v>
      </c>
      <c r="AO359" s="1">
        <v>0</v>
      </c>
      <c r="AP359" s="1">
        <v>3462.55</v>
      </c>
      <c r="AQ359" s="1">
        <v>1733.63</v>
      </c>
      <c r="AR359" s="1">
        <v>0</v>
      </c>
      <c r="AS359" s="1">
        <v>1733.63</v>
      </c>
      <c r="AT359" s="1">
        <v>0</v>
      </c>
      <c r="BA359" s="195"/>
      <c r="BB359" s="195"/>
      <c r="BC359" s="195"/>
      <c r="BD359" s="195"/>
      <c r="BE359" s="195"/>
      <c r="BF359" s="195"/>
      <c r="BG359" s="195"/>
      <c r="BH359" s="195"/>
      <c r="BI359" s="195"/>
    </row>
    <row r="360" spans="1:61" x14ac:dyDescent="0.25">
      <c r="A360" t="s">
        <v>343</v>
      </c>
      <c r="B360" t="s">
        <v>344</v>
      </c>
      <c r="C360" t="s">
        <v>910</v>
      </c>
      <c r="D360" t="s">
        <v>90</v>
      </c>
      <c r="E360" t="s">
        <v>911</v>
      </c>
      <c r="F360" t="s">
        <v>912</v>
      </c>
      <c r="G360" t="s">
        <v>913</v>
      </c>
      <c r="H360" t="s">
        <v>914</v>
      </c>
      <c r="I360" t="s">
        <v>915</v>
      </c>
      <c r="J360" t="s">
        <v>103</v>
      </c>
      <c r="K360" t="s">
        <v>931</v>
      </c>
      <c r="L360" t="s">
        <v>97</v>
      </c>
      <c r="M360" t="s">
        <v>937</v>
      </c>
      <c r="N360" t="s">
        <v>938</v>
      </c>
      <c r="AG360" t="s">
        <v>629</v>
      </c>
      <c r="AH360" t="s">
        <v>630</v>
      </c>
      <c r="AI360" t="s">
        <v>353</v>
      </c>
      <c r="AJ360" t="s">
        <v>937</v>
      </c>
      <c r="AK360" s="1">
        <v>39314.199999999997</v>
      </c>
      <c r="AL360" s="1">
        <v>0</v>
      </c>
      <c r="AM360" s="1">
        <v>39314.199999999997</v>
      </c>
      <c r="AN360" s="1">
        <v>19657.099999999999</v>
      </c>
      <c r="AO360" s="1">
        <v>0</v>
      </c>
      <c r="AP360" s="1">
        <v>19657.099999999999</v>
      </c>
      <c r="AQ360" s="1">
        <v>14528.34</v>
      </c>
      <c r="AR360" s="1">
        <v>0</v>
      </c>
      <c r="AS360" s="1">
        <v>14528.34</v>
      </c>
      <c r="AT360" s="1">
        <v>0</v>
      </c>
      <c r="BA360" s="195"/>
      <c r="BB360" s="195"/>
      <c r="BC360" s="195"/>
      <c r="BD360" s="195"/>
      <c r="BE360" s="195"/>
      <c r="BF360" s="195"/>
      <c r="BG360" s="195"/>
      <c r="BH360" s="195"/>
      <c r="BI360" s="195"/>
    </row>
    <row r="361" spans="1:61" x14ac:dyDescent="0.25">
      <c r="A361" t="s">
        <v>343</v>
      </c>
      <c r="B361" t="s">
        <v>344</v>
      </c>
      <c r="C361" t="s">
        <v>910</v>
      </c>
      <c r="D361" t="s">
        <v>90</v>
      </c>
      <c r="E361" t="s">
        <v>911</v>
      </c>
      <c r="F361" t="s">
        <v>912</v>
      </c>
      <c r="G361" t="s">
        <v>913</v>
      </c>
      <c r="H361" t="s">
        <v>914</v>
      </c>
      <c r="I361" t="s">
        <v>915</v>
      </c>
      <c r="J361" t="s">
        <v>103</v>
      </c>
      <c r="K361" t="s">
        <v>931</v>
      </c>
      <c r="L361" t="s">
        <v>97</v>
      </c>
      <c r="M361" t="s">
        <v>937</v>
      </c>
      <c r="N361" t="s">
        <v>938</v>
      </c>
      <c r="AG361" t="s">
        <v>631</v>
      </c>
      <c r="AH361" t="s">
        <v>632</v>
      </c>
      <c r="AI361" t="s">
        <v>353</v>
      </c>
      <c r="AJ361" t="s">
        <v>937</v>
      </c>
      <c r="AK361" s="1">
        <v>22495.42</v>
      </c>
      <c r="AL361" s="1">
        <v>0</v>
      </c>
      <c r="AM361" s="1">
        <v>22495.42</v>
      </c>
      <c r="AN361" s="1">
        <v>11247.71</v>
      </c>
      <c r="AO361" s="1">
        <v>0</v>
      </c>
      <c r="AP361" s="1">
        <v>11247.71</v>
      </c>
      <c r="AQ361" s="1">
        <v>14369.95</v>
      </c>
      <c r="AR361" s="1">
        <v>0</v>
      </c>
      <c r="AS361" s="1">
        <v>14369.95</v>
      </c>
      <c r="AT361" s="1">
        <v>0</v>
      </c>
      <c r="BA361" s="195"/>
      <c r="BB361" s="195"/>
      <c r="BC361" s="195"/>
      <c r="BD361" s="195"/>
      <c r="BE361" s="195"/>
      <c r="BF361" s="195"/>
      <c r="BG361" s="195"/>
      <c r="BH361" s="195"/>
      <c r="BI361" s="195"/>
    </row>
    <row r="362" spans="1:61" x14ac:dyDescent="0.25">
      <c r="A362" t="s">
        <v>343</v>
      </c>
      <c r="B362" t="s">
        <v>344</v>
      </c>
      <c r="C362" t="s">
        <v>910</v>
      </c>
      <c r="D362" t="s">
        <v>90</v>
      </c>
      <c r="E362" t="s">
        <v>911</v>
      </c>
      <c r="F362" t="s">
        <v>912</v>
      </c>
      <c r="G362" t="s">
        <v>913</v>
      </c>
      <c r="H362" t="s">
        <v>914</v>
      </c>
      <c r="I362" t="s">
        <v>915</v>
      </c>
      <c r="J362" t="s">
        <v>103</v>
      </c>
      <c r="K362" t="s">
        <v>931</v>
      </c>
      <c r="L362" t="s">
        <v>97</v>
      </c>
      <c r="M362" t="s">
        <v>937</v>
      </c>
      <c r="N362" t="s">
        <v>938</v>
      </c>
      <c r="AG362" t="s">
        <v>633</v>
      </c>
      <c r="AH362" t="s">
        <v>634</v>
      </c>
      <c r="AI362" t="s">
        <v>353</v>
      </c>
      <c r="AJ362" t="s">
        <v>937</v>
      </c>
      <c r="AK362" s="1">
        <v>220742.54</v>
      </c>
      <c r="AL362" s="1">
        <v>0</v>
      </c>
      <c r="AM362" s="1">
        <v>220742.54</v>
      </c>
      <c r="AN362" s="1">
        <v>110371.27</v>
      </c>
      <c r="AO362" s="1">
        <v>0</v>
      </c>
      <c r="AP362" s="1">
        <v>110371.27</v>
      </c>
      <c r="AQ362" s="1">
        <v>93434.92</v>
      </c>
      <c r="AR362" s="1">
        <v>0</v>
      </c>
      <c r="AS362" s="1">
        <v>93434.92</v>
      </c>
      <c r="AT362" s="1">
        <v>0</v>
      </c>
      <c r="BA362" s="195"/>
      <c r="BB362" s="195"/>
      <c r="BC362" s="195"/>
      <c r="BD362" s="195"/>
      <c r="BE362" s="195"/>
      <c r="BF362" s="195"/>
      <c r="BG362" s="195"/>
      <c r="BH362" s="195"/>
      <c r="BI362" s="195"/>
    </row>
    <row r="363" spans="1:61" x14ac:dyDescent="0.25">
      <c r="A363" t="s">
        <v>343</v>
      </c>
      <c r="B363" t="s">
        <v>344</v>
      </c>
      <c r="C363" t="s">
        <v>910</v>
      </c>
      <c r="D363" t="s">
        <v>90</v>
      </c>
      <c r="E363" t="s">
        <v>911</v>
      </c>
      <c r="F363" t="s">
        <v>912</v>
      </c>
      <c r="G363" t="s">
        <v>913</v>
      </c>
      <c r="H363" t="s">
        <v>914</v>
      </c>
      <c r="I363" t="s">
        <v>915</v>
      </c>
      <c r="J363" t="s">
        <v>103</v>
      </c>
      <c r="K363" t="s">
        <v>931</v>
      </c>
      <c r="L363" t="s">
        <v>97</v>
      </c>
      <c r="M363" t="s">
        <v>937</v>
      </c>
      <c r="N363" t="s">
        <v>938</v>
      </c>
      <c r="AG363" t="s">
        <v>635</v>
      </c>
      <c r="AH363" t="s">
        <v>636</v>
      </c>
      <c r="AI363" t="s">
        <v>353</v>
      </c>
      <c r="AJ363" t="s">
        <v>937</v>
      </c>
      <c r="AK363" s="1">
        <v>7476.82</v>
      </c>
      <c r="AL363" s="1">
        <v>0</v>
      </c>
      <c r="AM363" s="1">
        <v>7476.82</v>
      </c>
      <c r="AN363" s="1">
        <v>3738.41</v>
      </c>
      <c r="AO363" s="1">
        <v>0</v>
      </c>
      <c r="AP363" s="1">
        <v>3738.41</v>
      </c>
      <c r="AQ363" s="1">
        <v>2618.91</v>
      </c>
      <c r="AR363" s="1">
        <v>0</v>
      </c>
      <c r="AS363" s="1">
        <v>2618.91</v>
      </c>
      <c r="AT363" s="1">
        <v>0</v>
      </c>
      <c r="BA363" s="195"/>
      <c r="BB363" s="195"/>
      <c r="BC363" s="195"/>
      <c r="BD363" s="195"/>
      <c r="BE363" s="195"/>
      <c r="BF363" s="195"/>
      <c r="BG363" s="195"/>
      <c r="BH363" s="195"/>
      <c r="BI363" s="195"/>
    </row>
    <row r="364" spans="1:61" x14ac:dyDescent="0.25">
      <c r="A364" t="s">
        <v>343</v>
      </c>
      <c r="B364" t="s">
        <v>344</v>
      </c>
      <c r="C364" t="s">
        <v>910</v>
      </c>
      <c r="D364" t="s">
        <v>90</v>
      </c>
      <c r="E364" t="s">
        <v>911</v>
      </c>
      <c r="F364" t="s">
        <v>912</v>
      </c>
      <c r="G364" t="s">
        <v>913</v>
      </c>
      <c r="H364" t="s">
        <v>914</v>
      </c>
      <c r="I364" t="s">
        <v>915</v>
      </c>
      <c r="J364" t="s">
        <v>103</v>
      </c>
      <c r="K364" t="s">
        <v>931</v>
      </c>
      <c r="L364" t="s">
        <v>97</v>
      </c>
      <c r="M364" t="s">
        <v>937</v>
      </c>
      <c r="N364" t="s">
        <v>938</v>
      </c>
      <c r="AG364" t="s">
        <v>637</v>
      </c>
      <c r="AH364" t="s">
        <v>638</v>
      </c>
      <c r="AI364" t="s">
        <v>353</v>
      </c>
      <c r="AJ364" t="s">
        <v>937</v>
      </c>
      <c r="AK364" s="1">
        <v>70768.740000000005</v>
      </c>
      <c r="AL364" s="1">
        <v>0</v>
      </c>
      <c r="AM364" s="1">
        <v>70768.740000000005</v>
      </c>
      <c r="AN364" s="1">
        <v>35384.370000000003</v>
      </c>
      <c r="AO364" s="1">
        <v>0</v>
      </c>
      <c r="AP364" s="1">
        <v>35384.370000000003</v>
      </c>
      <c r="AQ364" s="1">
        <v>118855.35</v>
      </c>
      <c r="AR364" s="1">
        <v>0</v>
      </c>
      <c r="AS364" s="1">
        <v>118855.35</v>
      </c>
      <c r="AT364" s="1">
        <v>0</v>
      </c>
      <c r="BA364" s="195"/>
      <c r="BB364" s="195"/>
      <c r="BC364" s="195"/>
      <c r="BD364" s="195"/>
      <c r="BE364" s="195"/>
      <c r="BF364" s="195"/>
      <c r="BG364" s="195"/>
      <c r="BH364" s="195"/>
      <c r="BI364" s="195"/>
    </row>
    <row r="365" spans="1:61" x14ac:dyDescent="0.25">
      <c r="A365" t="s">
        <v>343</v>
      </c>
      <c r="B365" t="s">
        <v>344</v>
      </c>
      <c r="C365" t="s">
        <v>910</v>
      </c>
      <c r="D365" t="s">
        <v>90</v>
      </c>
      <c r="E365" t="s">
        <v>911</v>
      </c>
      <c r="F365" t="s">
        <v>912</v>
      </c>
      <c r="G365" t="s">
        <v>913</v>
      </c>
      <c r="H365" t="s">
        <v>914</v>
      </c>
      <c r="I365" t="s">
        <v>915</v>
      </c>
      <c r="J365" t="s">
        <v>103</v>
      </c>
      <c r="K365" t="s">
        <v>931</v>
      </c>
      <c r="L365" t="s">
        <v>97</v>
      </c>
      <c r="M365" t="s">
        <v>937</v>
      </c>
      <c r="N365" t="s">
        <v>938</v>
      </c>
      <c r="AG365" t="s">
        <v>639</v>
      </c>
      <c r="AH365" t="s">
        <v>640</v>
      </c>
      <c r="AI365" t="s">
        <v>353</v>
      </c>
      <c r="AJ365" t="s">
        <v>937</v>
      </c>
      <c r="AK365" s="1">
        <v>860</v>
      </c>
      <c r="AL365" s="1">
        <v>0</v>
      </c>
      <c r="AM365" s="1">
        <v>860</v>
      </c>
      <c r="AN365" s="1">
        <v>430</v>
      </c>
      <c r="AO365" s="1">
        <v>0</v>
      </c>
      <c r="AP365" s="1">
        <v>430</v>
      </c>
      <c r="AQ365" s="1">
        <v>430</v>
      </c>
      <c r="AR365" s="1">
        <v>0</v>
      </c>
      <c r="AS365" s="1">
        <v>430</v>
      </c>
      <c r="AT365" s="1">
        <v>0</v>
      </c>
      <c r="BA365" s="195"/>
      <c r="BB365" s="195"/>
      <c r="BC365" s="195"/>
      <c r="BD365" s="195"/>
      <c r="BE365" s="195"/>
      <c r="BF365" s="195"/>
      <c r="BG365" s="195"/>
      <c r="BH365" s="195"/>
      <c r="BI365" s="195"/>
    </row>
    <row r="366" spans="1:61" x14ac:dyDescent="0.25">
      <c r="A366" t="s">
        <v>343</v>
      </c>
      <c r="B366" t="s">
        <v>344</v>
      </c>
      <c r="C366" t="s">
        <v>910</v>
      </c>
      <c r="D366" t="s">
        <v>90</v>
      </c>
      <c r="E366" t="s">
        <v>911</v>
      </c>
      <c r="F366" t="s">
        <v>912</v>
      </c>
      <c r="G366" t="s">
        <v>913</v>
      </c>
      <c r="H366" t="s">
        <v>914</v>
      </c>
      <c r="I366" t="s">
        <v>915</v>
      </c>
      <c r="J366" t="s">
        <v>103</v>
      </c>
      <c r="K366" t="s">
        <v>931</v>
      </c>
      <c r="L366" t="s">
        <v>97</v>
      </c>
      <c r="M366" t="s">
        <v>939</v>
      </c>
      <c r="N366" t="s">
        <v>940</v>
      </c>
      <c r="AG366" t="s">
        <v>641</v>
      </c>
      <c r="AH366" t="s">
        <v>642</v>
      </c>
      <c r="AI366" t="s">
        <v>353</v>
      </c>
      <c r="AJ366" t="s">
        <v>939</v>
      </c>
      <c r="AK366" s="1">
        <v>78978.52</v>
      </c>
      <c r="AL366" s="1">
        <v>0</v>
      </c>
      <c r="AM366" s="1">
        <v>78978.52</v>
      </c>
      <c r="AN366" s="1">
        <v>39489.26</v>
      </c>
      <c r="AO366" s="1">
        <v>0</v>
      </c>
      <c r="AP366" s="1">
        <v>39489.26</v>
      </c>
      <c r="AQ366" s="1">
        <v>30584.35</v>
      </c>
      <c r="AR366" s="1">
        <v>0</v>
      </c>
      <c r="AS366" s="1">
        <v>30584.35</v>
      </c>
      <c r="AT366" s="1">
        <v>0</v>
      </c>
      <c r="BA366" s="195"/>
      <c r="BB366" s="195"/>
      <c r="BC366" s="195"/>
      <c r="BD366" s="195"/>
      <c r="BE366" s="195"/>
      <c r="BF366" s="195"/>
      <c r="BG366" s="195"/>
      <c r="BH366" s="195"/>
      <c r="BI366" s="195"/>
    </row>
    <row r="367" spans="1:61" x14ac:dyDescent="0.25">
      <c r="A367" t="s">
        <v>343</v>
      </c>
      <c r="B367" t="s">
        <v>344</v>
      </c>
      <c r="C367" t="s">
        <v>910</v>
      </c>
      <c r="D367" t="s">
        <v>90</v>
      </c>
      <c r="E367" t="s">
        <v>911</v>
      </c>
      <c r="F367" t="s">
        <v>912</v>
      </c>
      <c r="G367" t="s">
        <v>913</v>
      </c>
      <c r="H367" t="s">
        <v>914</v>
      </c>
      <c r="I367" t="s">
        <v>915</v>
      </c>
      <c r="J367" t="s">
        <v>103</v>
      </c>
      <c r="K367" t="s">
        <v>931</v>
      </c>
      <c r="L367" t="s">
        <v>97</v>
      </c>
      <c r="M367" t="s">
        <v>939</v>
      </c>
      <c r="N367" t="s">
        <v>940</v>
      </c>
      <c r="AG367" t="s">
        <v>643</v>
      </c>
      <c r="AH367" t="s">
        <v>644</v>
      </c>
      <c r="AI367" t="s">
        <v>353</v>
      </c>
      <c r="AJ367" t="s">
        <v>939</v>
      </c>
      <c r="AK367" s="1">
        <v>30688.1</v>
      </c>
      <c r="AL367" s="1">
        <v>0</v>
      </c>
      <c r="AM367" s="1">
        <v>30688.1</v>
      </c>
      <c r="AN367" s="1">
        <v>15344.05</v>
      </c>
      <c r="AO367" s="1">
        <v>0</v>
      </c>
      <c r="AP367" s="1">
        <v>15344.05</v>
      </c>
      <c r="AQ367" s="1">
        <v>16287.98</v>
      </c>
      <c r="AR367" s="1">
        <v>0</v>
      </c>
      <c r="AS367" s="1">
        <v>16287.98</v>
      </c>
      <c r="AT367" s="1">
        <v>0</v>
      </c>
      <c r="BA367" s="195"/>
      <c r="BB367" s="195"/>
      <c r="BC367" s="195"/>
      <c r="BD367" s="195"/>
      <c r="BE367" s="195"/>
      <c r="BF367" s="195"/>
      <c r="BG367" s="195"/>
      <c r="BH367" s="195"/>
      <c r="BI367" s="195"/>
    </row>
    <row r="368" spans="1:61" x14ac:dyDescent="0.25">
      <c r="A368" t="s">
        <v>343</v>
      </c>
      <c r="B368" t="s">
        <v>344</v>
      </c>
      <c r="C368" t="s">
        <v>910</v>
      </c>
      <c r="D368" t="s">
        <v>90</v>
      </c>
      <c r="E368" t="s">
        <v>911</v>
      </c>
      <c r="F368" t="s">
        <v>912</v>
      </c>
      <c r="G368" t="s">
        <v>913</v>
      </c>
      <c r="H368" t="s">
        <v>914</v>
      </c>
      <c r="I368" t="s">
        <v>915</v>
      </c>
      <c r="J368" t="s">
        <v>103</v>
      </c>
      <c r="K368" t="s">
        <v>931</v>
      </c>
      <c r="L368" t="s">
        <v>97</v>
      </c>
      <c r="M368" t="s">
        <v>939</v>
      </c>
      <c r="N368" t="s">
        <v>940</v>
      </c>
      <c r="AG368" t="s">
        <v>645</v>
      </c>
      <c r="AH368" t="s">
        <v>646</v>
      </c>
      <c r="AI368" t="s">
        <v>353</v>
      </c>
      <c r="AJ368" t="s">
        <v>939</v>
      </c>
      <c r="AK368" s="1">
        <v>38012.980000000003</v>
      </c>
      <c r="AL368" s="1">
        <v>0</v>
      </c>
      <c r="AM368" s="1">
        <v>38012.980000000003</v>
      </c>
      <c r="AN368" s="1">
        <v>19006.490000000002</v>
      </c>
      <c r="AO368" s="1">
        <v>0</v>
      </c>
      <c r="AP368" s="1">
        <v>19006.490000000002</v>
      </c>
      <c r="AQ368" s="1">
        <v>20268.87</v>
      </c>
      <c r="AR368" s="1">
        <v>0</v>
      </c>
      <c r="AS368" s="1">
        <v>20268.87</v>
      </c>
      <c r="AT368" s="1">
        <v>0</v>
      </c>
      <c r="BA368" s="195"/>
      <c r="BB368" s="195"/>
      <c r="BC368" s="195"/>
      <c r="BD368" s="195"/>
      <c r="BE368" s="195"/>
      <c r="BF368" s="195"/>
      <c r="BG368" s="195"/>
      <c r="BH368" s="195"/>
      <c r="BI368" s="195"/>
    </row>
    <row r="369" spans="1:61" x14ac:dyDescent="0.25">
      <c r="A369" t="s">
        <v>343</v>
      </c>
      <c r="B369" t="s">
        <v>344</v>
      </c>
      <c r="C369" t="s">
        <v>910</v>
      </c>
      <c r="D369" t="s">
        <v>90</v>
      </c>
      <c r="E369" t="s">
        <v>911</v>
      </c>
      <c r="F369" t="s">
        <v>912</v>
      </c>
      <c r="G369" t="s">
        <v>913</v>
      </c>
      <c r="H369" t="s">
        <v>914</v>
      </c>
      <c r="I369" t="s">
        <v>915</v>
      </c>
      <c r="J369" t="s">
        <v>103</v>
      </c>
      <c r="K369" t="s">
        <v>931</v>
      </c>
      <c r="L369" t="s">
        <v>97</v>
      </c>
      <c r="M369" t="s">
        <v>939</v>
      </c>
      <c r="N369" t="s">
        <v>940</v>
      </c>
      <c r="AG369" t="s">
        <v>647</v>
      </c>
      <c r="AH369" t="s">
        <v>648</v>
      </c>
      <c r="AI369" t="s">
        <v>353</v>
      </c>
      <c r="AJ369" t="s">
        <v>939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10.95</v>
      </c>
      <c r="AR369" s="1">
        <v>0</v>
      </c>
      <c r="AS369" s="1">
        <v>10.95</v>
      </c>
      <c r="AT369" s="1">
        <v>0</v>
      </c>
      <c r="BA369" s="195"/>
      <c r="BB369" s="195"/>
      <c r="BC369" s="195"/>
      <c r="BD369" s="195"/>
      <c r="BE369" s="195"/>
      <c r="BF369" s="195"/>
      <c r="BG369" s="195"/>
      <c r="BH369" s="195"/>
      <c r="BI369" s="195"/>
    </row>
    <row r="370" spans="1:61" x14ac:dyDescent="0.25">
      <c r="A370" t="s">
        <v>343</v>
      </c>
      <c r="B370" t="s">
        <v>344</v>
      </c>
      <c r="C370" t="s">
        <v>910</v>
      </c>
      <c r="D370" t="s">
        <v>90</v>
      </c>
      <c r="E370" t="s">
        <v>911</v>
      </c>
      <c r="F370" t="s">
        <v>912</v>
      </c>
      <c r="G370" t="s">
        <v>913</v>
      </c>
      <c r="H370" t="s">
        <v>914</v>
      </c>
      <c r="I370" t="s">
        <v>915</v>
      </c>
      <c r="J370" t="s">
        <v>103</v>
      </c>
      <c r="K370" t="s">
        <v>931</v>
      </c>
      <c r="L370" t="s">
        <v>97</v>
      </c>
      <c r="M370" t="s">
        <v>939</v>
      </c>
      <c r="N370" t="s">
        <v>940</v>
      </c>
      <c r="AG370" t="s">
        <v>649</v>
      </c>
      <c r="AH370" t="s">
        <v>648</v>
      </c>
      <c r="AI370" t="s">
        <v>353</v>
      </c>
      <c r="AJ370" t="s">
        <v>939</v>
      </c>
      <c r="AK370" s="1">
        <v>112582</v>
      </c>
      <c r="AL370" s="1">
        <v>0</v>
      </c>
      <c r="AM370" s="1">
        <v>112582</v>
      </c>
      <c r="AN370" s="1">
        <v>56291</v>
      </c>
      <c r="AO370" s="1">
        <v>0</v>
      </c>
      <c r="AP370" s="1">
        <v>56291</v>
      </c>
      <c r="AQ370" s="1">
        <v>60815</v>
      </c>
      <c r="AR370" s="1">
        <v>0</v>
      </c>
      <c r="AS370" s="1">
        <v>60815</v>
      </c>
      <c r="AT370" s="1">
        <v>0</v>
      </c>
      <c r="BA370" s="195"/>
      <c r="BB370" s="195"/>
      <c r="BC370" s="195"/>
      <c r="BD370" s="195"/>
      <c r="BE370" s="195"/>
      <c r="BF370" s="195"/>
      <c r="BG370" s="195"/>
      <c r="BH370" s="195"/>
      <c r="BI370" s="195"/>
    </row>
    <row r="371" spans="1:61" x14ac:dyDescent="0.25">
      <c r="A371" t="s">
        <v>343</v>
      </c>
      <c r="B371" t="s">
        <v>344</v>
      </c>
      <c r="C371" t="s">
        <v>910</v>
      </c>
      <c r="D371" t="s">
        <v>90</v>
      </c>
      <c r="E371" t="s">
        <v>911</v>
      </c>
      <c r="F371" t="s">
        <v>912</v>
      </c>
      <c r="G371" t="s">
        <v>913</v>
      </c>
      <c r="H371" t="s">
        <v>914</v>
      </c>
      <c r="I371" t="s">
        <v>915</v>
      </c>
      <c r="J371" t="s">
        <v>103</v>
      </c>
      <c r="K371" t="s">
        <v>931</v>
      </c>
      <c r="L371" t="s">
        <v>97</v>
      </c>
      <c r="M371" t="s">
        <v>939</v>
      </c>
      <c r="N371" t="s">
        <v>940</v>
      </c>
      <c r="AG371" t="s">
        <v>650</v>
      </c>
      <c r="AH371" t="s">
        <v>651</v>
      </c>
      <c r="AI371" t="s">
        <v>353</v>
      </c>
      <c r="AJ371" t="s">
        <v>939</v>
      </c>
      <c r="AK371" s="1">
        <v>876</v>
      </c>
      <c r="AL371" s="1">
        <v>0</v>
      </c>
      <c r="AM371" s="1">
        <v>876</v>
      </c>
      <c r="AN371" s="1">
        <v>438</v>
      </c>
      <c r="AO371" s="1">
        <v>0</v>
      </c>
      <c r="AP371" s="1">
        <v>438</v>
      </c>
      <c r="AQ371" s="1">
        <v>0</v>
      </c>
      <c r="AR371" s="1">
        <v>0</v>
      </c>
      <c r="AS371" s="1">
        <v>0</v>
      </c>
      <c r="AT371" s="1">
        <v>0</v>
      </c>
      <c r="BA371" s="195"/>
      <c r="BB371" s="195"/>
      <c r="BC371" s="195"/>
      <c r="BD371" s="195"/>
      <c r="BE371" s="195"/>
      <c r="BF371" s="195"/>
      <c r="BG371" s="195"/>
      <c r="BH371" s="195"/>
      <c r="BI371" s="195"/>
    </row>
    <row r="372" spans="1:61" x14ac:dyDescent="0.25">
      <c r="A372" t="s">
        <v>343</v>
      </c>
      <c r="B372" t="s">
        <v>344</v>
      </c>
      <c r="C372" t="s">
        <v>910</v>
      </c>
      <c r="D372" t="s">
        <v>90</v>
      </c>
      <c r="E372" t="s">
        <v>911</v>
      </c>
      <c r="F372" t="s">
        <v>912</v>
      </c>
      <c r="G372" t="s">
        <v>913</v>
      </c>
      <c r="H372" t="s">
        <v>914</v>
      </c>
      <c r="I372" t="s">
        <v>915</v>
      </c>
      <c r="J372" t="s">
        <v>103</v>
      </c>
      <c r="K372" t="s">
        <v>931</v>
      </c>
      <c r="L372" t="s">
        <v>97</v>
      </c>
      <c r="M372" t="s">
        <v>939</v>
      </c>
      <c r="N372" t="s">
        <v>940</v>
      </c>
      <c r="AG372" t="s">
        <v>652</v>
      </c>
      <c r="AH372" t="s">
        <v>653</v>
      </c>
      <c r="AI372" t="s">
        <v>353</v>
      </c>
      <c r="AJ372" t="s">
        <v>939</v>
      </c>
      <c r="AK372" s="1">
        <v>892</v>
      </c>
      <c r="AL372" s="1">
        <v>0</v>
      </c>
      <c r="AM372" s="1">
        <v>892</v>
      </c>
      <c r="AN372" s="1">
        <v>446</v>
      </c>
      <c r="AO372" s="1">
        <v>0</v>
      </c>
      <c r="AP372" s="1">
        <v>446</v>
      </c>
      <c r="AQ372" s="1">
        <v>629</v>
      </c>
      <c r="AR372" s="1">
        <v>0</v>
      </c>
      <c r="AS372" s="1">
        <v>629</v>
      </c>
      <c r="AT372" s="1">
        <v>0</v>
      </c>
      <c r="BA372" s="195"/>
      <c r="BB372" s="195"/>
      <c r="BC372" s="195"/>
      <c r="BD372" s="195"/>
      <c r="BE372" s="195"/>
      <c r="BF372" s="195"/>
      <c r="BG372" s="195"/>
      <c r="BH372" s="195"/>
      <c r="BI372" s="195"/>
    </row>
    <row r="373" spans="1:61" x14ac:dyDescent="0.25">
      <c r="A373" t="s">
        <v>343</v>
      </c>
      <c r="B373" t="s">
        <v>344</v>
      </c>
      <c r="C373" t="s">
        <v>910</v>
      </c>
      <c r="D373" t="s">
        <v>90</v>
      </c>
      <c r="E373" t="s">
        <v>911</v>
      </c>
      <c r="F373" t="s">
        <v>912</v>
      </c>
      <c r="G373" t="s">
        <v>913</v>
      </c>
      <c r="H373" t="s">
        <v>914</v>
      </c>
      <c r="I373" t="s">
        <v>915</v>
      </c>
      <c r="J373" t="s">
        <v>103</v>
      </c>
      <c r="K373" t="s">
        <v>931</v>
      </c>
      <c r="L373" t="s">
        <v>97</v>
      </c>
      <c r="M373" t="s">
        <v>939</v>
      </c>
      <c r="N373" t="s">
        <v>940</v>
      </c>
      <c r="AG373" t="s">
        <v>654</v>
      </c>
      <c r="AH373" t="s">
        <v>655</v>
      </c>
      <c r="AI373" t="s">
        <v>353</v>
      </c>
      <c r="AJ373" t="s">
        <v>939</v>
      </c>
      <c r="AK373" s="1">
        <v>8924.64</v>
      </c>
      <c r="AL373" s="1">
        <v>0</v>
      </c>
      <c r="AM373" s="1">
        <v>8924.64</v>
      </c>
      <c r="AN373" s="1">
        <v>4462.32</v>
      </c>
      <c r="AO373" s="1">
        <v>0</v>
      </c>
      <c r="AP373" s="1">
        <v>4462.32</v>
      </c>
      <c r="AQ373" s="1">
        <v>6859.94</v>
      </c>
      <c r="AR373" s="1">
        <v>0</v>
      </c>
      <c r="AS373" s="1">
        <v>6859.94</v>
      </c>
      <c r="AT373" s="1">
        <v>0</v>
      </c>
      <c r="BA373" s="195"/>
      <c r="BB373" s="195"/>
      <c r="BC373" s="195"/>
      <c r="BD373" s="195"/>
      <c r="BE373" s="195"/>
      <c r="BF373" s="195"/>
      <c r="BG373" s="195"/>
      <c r="BH373" s="195"/>
      <c r="BI373" s="195"/>
    </row>
    <row r="374" spans="1:61" x14ac:dyDescent="0.25">
      <c r="A374" t="s">
        <v>343</v>
      </c>
      <c r="B374" t="s">
        <v>344</v>
      </c>
      <c r="C374" t="s">
        <v>910</v>
      </c>
      <c r="D374" t="s">
        <v>90</v>
      </c>
      <c r="E374" t="s">
        <v>911</v>
      </c>
      <c r="F374" t="s">
        <v>912</v>
      </c>
      <c r="G374" t="s">
        <v>913</v>
      </c>
      <c r="H374" t="s">
        <v>914</v>
      </c>
      <c r="I374" t="s">
        <v>915</v>
      </c>
      <c r="J374" t="s">
        <v>103</v>
      </c>
      <c r="K374" t="s">
        <v>931</v>
      </c>
      <c r="L374" t="s">
        <v>97</v>
      </c>
      <c r="M374" t="s">
        <v>939</v>
      </c>
      <c r="N374" t="s">
        <v>940</v>
      </c>
      <c r="AG374" t="s">
        <v>656</v>
      </c>
      <c r="AH374" t="s">
        <v>657</v>
      </c>
      <c r="AI374" t="s">
        <v>353</v>
      </c>
      <c r="AJ374" t="s">
        <v>939</v>
      </c>
      <c r="AK374" s="1">
        <v>30824</v>
      </c>
      <c r="AL374" s="1">
        <v>0</v>
      </c>
      <c r="AM374" s="1">
        <v>30824</v>
      </c>
      <c r="AN374" s="1">
        <v>15412</v>
      </c>
      <c r="AO374" s="1">
        <v>0</v>
      </c>
      <c r="AP374" s="1">
        <v>15412</v>
      </c>
      <c r="AQ374" s="1">
        <v>16741.900000000001</v>
      </c>
      <c r="AR374" s="1">
        <v>0</v>
      </c>
      <c r="AS374" s="1">
        <v>16741.900000000001</v>
      </c>
      <c r="AT374" s="1">
        <v>0</v>
      </c>
      <c r="BA374" s="195"/>
      <c r="BB374" s="195"/>
      <c r="BC374" s="195"/>
      <c r="BD374" s="195"/>
      <c r="BE374" s="195"/>
      <c r="BF374" s="195"/>
      <c r="BG374" s="195"/>
      <c r="BH374" s="195"/>
      <c r="BI374" s="195"/>
    </row>
    <row r="375" spans="1:61" x14ac:dyDescent="0.25">
      <c r="A375" t="s">
        <v>343</v>
      </c>
      <c r="B375" t="s">
        <v>344</v>
      </c>
      <c r="C375" t="s">
        <v>910</v>
      </c>
      <c r="D375" t="s">
        <v>90</v>
      </c>
      <c r="E375" t="s">
        <v>911</v>
      </c>
      <c r="F375" t="s">
        <v>912</v>
      </c>
      <c r="G375" t="s">
        <v>913</v>
      </c>
      <c r="H375" t="s">
        <v>914</v>
      </c>
      <c r="I375" t="s">
        <v>915</v>
      </c>
      <c r="J375" t="s">
        <v>103</v>
      </c>
      <c r="K375" t="s">
        <v>931</v>
      </c>
      <c r="L375" t="s">
        <v>97</v>
      </c>
      <c r="M375" t="s">
        <v>939</v>
      </c>
      <c r="N375" t="s">
        <v>940</v>
      </c>
      <c r="AG375" t="s">
        <v>658</v>
      </c>
      <c r="AH375" t="s">
        <v>659</v>
      </c>
      <c r="AI375" t="s">
        <v>353</v>
      </c>
      <c r="AJ375" t="s">
        <v>939</v>
      </c>
      <c r="AK375" s="1">
        <v>25170</v>
      </c>
      <c r="AL375" s="1">
        <v>0</v>
      </c>
      <c r="AM375" s="1">
        <v>25170</v>
      </c>
      <c r="AN375" s="1">
        <v>12585</v>
      </c>
      <c r="AO375" s="1">
        <v>0</v>
      </c>
      <c r="AP375" s="1">
        <v>12585</v>
      </c>
      <c r="AQ375" s="1">
        <v>10245</v>
      </c>
      <c r="AR375" s="1">
        <v>0</v>
      </c>
      <c r="AS375" s="1">
        <v>10245</v>
      </c>
      <c r="AT375" s="1">
        <v>0</v>
      </c>
      <c r="BA375" s="195"/>
      <c r="BB375" s="195"/>
      <c r="BC375" s="195"/>
      <c r="BD375" s="195"/>
      <c r="BE375" s="195"/>
      <c r="BF375" s="195"/>
      <c r="BG375" s="195"/>
      <c r="BH375" s="195"/>
      <c r="BI375" s="195"/>
    </row>
    <row r="376" spans="1:61" x14ac:dyDescent="0.25">
      <c r="A376" t="s">
        <v>343</v>
      </c>
      <c r="B376" t="s">
        <v>344</v>
      </c>
      <c r="C376" t="s">
        <v>910</v>
      </c>
      <c r="D376" t="s">
        <v>90</v>
      </c>
      <c r="E376" t="s">
        <v>911</v>
      </c>
      <c r="F376" t="s">
        <v>912</v>
      </c>
      <c r="G376" t="s">
        <v>913</v>
      </c>
      <c r="H376" t="s">
        <v>914</v>
      </c>
      <c r="I376" t="s">
        <v>915</v>
      </c>
      <c r="J376" t="s">
        <v>103</v>
      </c>
      <c r="K376" t="s">
        <v>931</v>
      </c>
      <c r="L376" t="s">
        <v>97</v>
      </c>
      <c r="M376" t="s">
        <v>941</v>
      </c>
      <c r="N376" t="s">
        <v>942</v>
      </c>
      <c r="AG376" t="s">
        <v>660</v>
      </c>
      <c r="AH376" t="s">
        <v>661</v>
      </c>
      <c r="AI376" t="s">
        <v>353</v>
      </c>
      <c r="AJ376" t="s">
        <v>941</v>
      </c>
      <c r="AK376" s="1">
        <v>6150621.6200000001</v>
      </c>
      <c r="AL376" s="1">
        <v>0</v>
      </c>
      <c r="AM376" s="1">
        <v>6150621.6200000001</v>
      </c>
      <c r="AN376" s="1">
        <v>3075310.81</v>
      </c>
      <c r="AO376" s="1">
        <v>0</v>
      </c>
      <c r="AP376" s="1">
        <v>3075310.81</v>
      </c>
      <c r="AQ376" s="1">
        <v>3273091.66</v>
      </c>
      <c r="AR376" s="1">
        <v>0</v>
      </c>
      <c r="AS376" s="1">
        <v>3273091.66</v>
      </c>
      <c r="AT376" s="1">
        <v>0</v>
      </c>
      <c r="BA376" s="195"/>
      <c r="BB376" s="195"/>
      <c r="BC376" s="195"/>
      <c r="BD376" s="195"/>
      <c r="BE376" s="195"/>
      <c r="BF376" s="195"/>
      <c r="BG376" s="195"/>
      <c r="BH376" s="195"/>
      <c r="BI376" s="195"/>
    </row>
    <row r="377" spans="1:61" x14ac:dyDescent="0.25">
      <c r="A377" t="s">
        <v>343</v>
      </c>
      <c r="B377" t="s">
        <v>344</v>
      </c>
      <c r="C377" t="s">
        <v>910</v>
      </c>
      <c r="D377" t="s">
        <v>90</v>
      </c>
      <c r="E377" t="s">
        <v>911</v>
      </c>
      <c r="F377" t="s">
        <v>912</v>
      </c>
      <c r="G377" t="s">
        <v>913</v>
      </c>
      <c r="H377" t="s">
        <v>914</v>
      </c>
      <c r="I377" t="s">
        <v>915</v>
      </c>
      <c r="J377" t="s">
        <v>103</v>
      </c>
      <c r="K377" t="s">
        <v>931</v>
      </c>
      <c r="L377" t="s">
        <v>97</v>
      </c>
      <c r="M377" t="s">
        <v>941</v>
      </c>
      <c r="N377" t="s">
        <v>942</v>
      </c>
      <c r="AG377" t="s">
        <v>662</v>
      </c>
      <c r="AH377" t="s">
        <v>663</v>
      </c>
      <c r="AI377" t="s">
        <v>353</v>
      </c>
      <c r="AJ377" t="s">
        <v>941</v>
      </c>
      <c r="AK377" s="1">
        <v>136698.82</v>
      </c>
      <c r="AL377" s="1">
        <v>0</v>
      </c>
      <c r="AM377" s="1">
        <v>136698.82</v>
      </c>
      <c r="AN377" s="1">
        <v>68349.41</v>
      </c>
      <c r="AO377" s="1">
        <v>0</v>
      </c>
      <c r="AP377" s="1">
        <v>68349.41</v>
      </c>
      <c r="AQ377" s="1">
        <v>110238.54</v>
      </c>
      <c r="AR377" s="1">
        <v>0</v>
      </c>
      <c r="AS377" s="1">
        <v>110238.54</v>
      </c>
      <c r="AT377" s="1">
        <v>0</v>
      </c>
      <c r="BA377" s="195"/>
      <c r="BB377" s="195"/>
      <c r="BC377" s="195"/>
      <c r="BD377" s="195"/>
      <c r="BE377" s="195"/>
      <c r="BF377" s="195"/>
      <c r="BG377" s="195"/>
      <c r="BH377" s="195"/>
      <c r="BI377" s="195"/>
    </row>
    <row r="378" spans="1:61" x14ac:dyDescent="0.25">
      <c r="A378" t="s">
        <v>343</v>
      </c>
      <c r="B378" t="s">
        <v>344</v>
      </c>
      <c r="C378" t="s">
        <v>910</v>
      </c>
      <c r="D378" t="s">
        <v>90</v>
      </c>
      <c r="E378" t="s">
        <v>911</v>
      </c>
      <c r="F378" t="s">
        <v>912</v>
      </c>
      <c r="G378" t="s">
        <v>913</v>
      </c>
      <c r="H378" t="s">
        <v>914</v>
      </c>
      <c r="I378" t="s">
        <v>915</v>
      </c>
      <c r="J378" t="s">
        <v>103</v>
      </c>
      <c r="K378" t="s">
        <v>931</v>
      </c>
      <c r="L378" t="s">
        <v>97</v>
      </c>
      <c r="M378" t="s">
        <v>941</v>
      </c>
      <c r="N378" t="s">
        <v>942</v>
      </c>
      <c r="AG378" t="s">
        <v>664</v>
      </c>
      <c r="AH378" t="s">
        <v>665</v>
      </c>
      <c r="AI378" t="s">
        <v>353</v>
      </c>
      <c r="AJ378" t="s">
        <v>941</v>
      </c>
      <c r="AK378" s="1">
        <v>632055.74</v>
      </c>
      <c r="AL378" s="1">
        <v>0</v>
      </c>
      <c r="AM378" s="1">
        <v>632055.74</v>
      </c>
      <c r="AN378" s="1">
        <v>316027.87</v>
      </c>
      <c r="AO378" s="1">
        <v>0</v>
      </c>
      <c r="AP378" s="1">
        <v>316027.87</v>
      </c>
      <c r="AQ378" s="1">
        <v>271959</v>
      </c>
      <c r="AR378" s="1">
        <v>0</v>
      </c>
      <c r="AS378" s="1">
        <v>271959</v>
      </c>
      <c r="AT378" s="1">
        <v>0</v>
      </c>
      <c r="BA378" s="195"/>
      <c r="BB378" s="195"/>
      <c r="BC378" s="195"/>
      <c r="BD378" s="195"/>
      <c r="BE378" s="195"/>
      <c r="BF378" s="195"/>
      <c r="BG378" s="195"/>
      <c r="BH378" s="195"/>
      <c r="BI378" s="195"/>
    </row>
    <row r="379" spans="1:61" x14ac:dyDescent="0.25">
      <c r="A379" t="s">
        <v>343</v>
      </c>
      <c r="B379" t="s">
        <v>344</v>
      </c>
      <c r="C379" t="s">
        <v>910</v>
      </c>
      <c r="D379" t="s">
        <v>90</v>
      </c>
      <c r="E379" t="s">
        <v>911</v>
      </c>
      <c r="F379" t="s">
        <v>912</v>
      </c>
      <c r="G379" t="s">
        <v>913</v>
      </c>
      <c r="H379" t="s">
        <v>914</v>
      </c>
      <c r="I379" t="s">
        <v>915</v>
      </c>
      <c r="J379" t="s">
        <v>103</v>
      </c>
      <c r="K379" t="s">
        <v>931</v>
      </c>
      <c r="L379" t="s">
        <v>97</v>
      </c>
      <c r="M379" t="s">
        <v>941</v>
      </c>
      <c r="N379" t="s">
        <v>942</v>
      </c>
      <c r="AG379" t="s">
        <v>666</v>
      </c>
      <c r="AH379" t="s">
        <v>667</v>
      </c>
      <c r="AI379" t="s">
        <v>353</v>
      </c>
      <c r="AJ379" t="s">
        <v>941</v>
      </c>
      <c r="AK379" s="1">
        <v>-1582.9</v>
      </c>
      <c r="AL379" s="1">
        <v>0</v>
      </c>
      <c r="AM379" s="1">
        <v>-1582.9</v>
      </c>
      <c r="AN379" s="1">
        <v>-791.45</v>
      </c>
      <c r="AO379" s="1">
        <v>0</v>
      </c>
      <c r="AP379" s="1">
        <v>-791.45</v>
      </c>
      <c r="AQ379" s="1">
        <v>-2192.36</v>
      </c>
      <c r="AR379" s="1">
        <v>0</v>
      </c>
      <c r="AS379" s="1">
        <v>-2192.36</v>
      </c>
      <c r="AT379" s="1">
        <v>0</v>
      </c>
      <c r="BA379" s="195"/>
      <c r="BB379" s="195"/>
      <c r="BC379" s="195"/>
      <c r="BD379" s="195"/>
      <c r="BE379" s="195"/>
      <c r="BF379" s="195"/>
      <c r="BG379" s="195"/>
      <c r="BH379" s="195"/>
      <c r="BI379" s="195"/>
    </row>
    <row r="380" spans="1:61" x14ac:dyDescent="0.25">
      <c r="A380" t="s">
        <v>343</v>
      </c>
      <c r="B380" t="s">
        <v>344</v>
      </c>
      <c r="C380" t="s">
        <v>910</v>
      </c>
      <c r="D380" t="s">
        <v>90</v>
      </c>
      <c r="E380" t="s">
        <v>911</v>
      </c>
      <c r="F380" t="s">
        <v>912</v>
      </c>
      <c r="G380" t="s">
        <v>913</v>
      </c>
      <c r="H380" t="s">
        <v>914</v>
      </c>
      <c r="I380" t="s">
        <v>915</v>
      </c>
      <c r="J380" t="s">
        <v>103</v>
      </c>
      <c r="K380" t="s">
        <v>931</v>
      </c>
      <c r="L380" t="s">
        <v>97</v>
      </c>
      <c r="M380" t="s">
        <v>941</v>
      </c>
      <c r="N380" t="s">
        <v>942</v>
      </c>
      <c r="AG380" t="s">
        <v>668</v>
      </c>
      <c r="AH380" t="s">
        <v>669</v>
      </c>
      <c r="AI380" t="s">
        <v>353</v>
      </c>
      <c r="AJ380" t="s">
        <v>941</v>
      </c>
      <c r="AK380" s="1">
        <v>16080.26</v>
      </c>
      <c r="AL380" s="1">
        <v>0</v>
      </c>
      <c r="AM380" s="1">
        <v>16080.26</v>
      </c>
      <c r="AN380" s="1">
        <v>8040.13</v>
      </c>
      <c r="AO380" s="1">
        <v>0</v>
      </c>
      <c r="AP380" s="1">
        <v>8040.13</v>
      </c>
      <c r="AQ380" s="1">
        <v>61300</v>
      </c>
      <c r="AR380" s="1">
        <v>0</v>
      </c>
      <c r="AS380" s="1">
        <v>61300</v>
      </c>
      <c r="AT380" s="1">
        <v>0</v>
      </c>
      <c r="BA380" s="195"/>
      <c r="BB380" s="195"/>
      <c r="BC380" s="195"/>
      <c r="BD380" s="195"/>
      <c r="BE380" s="195"/>
      <c r="BF380" s="195"/>
      <c r="BG380" s="195"/>
      <c r="BH380" s="195"/>
      <c r="BI380" s="195"/>
    </row>
    <row r="381" spans="1:61" x14ac:dyDescent="0.25">
      <c r="A381" t="s">
        <v>343</v>
      </c>
      <c r="B381" t="s">
        <v>344</v>
      </c>
      <c r="C381" t="s">
        <v>910</v>
      </c>
      <c r="D381" t="s">
        <v>90</v>
      </c>
      <c r="E381" t="s">
        <v>911</v>
      </c>
      <c r="F381" t="s">
        <v>912</v>
      </c>
      <c r="G381" t="s">
        <v>913</v>
      </c>
      <c r="H381" t="s">
        <v>914</v>
      </c>
      <c r="I381" t="s">
        <v>915</v>
      </c>
      <c r="J381" t="s">
        <v>103</v>
      </c>
      <c r="K381" t="s">
        <v>931</v>
      </c>
      <c r="L381" t="s">
        <v>97</v>
      </c>
      <c r="M381" t="s">
        <v>941</v>
      </c>
      <c r="N381" t="s">
        <v>942</v>
      </c>
      <c r="AG381" t="s">
        <v>670</v>
      </c>
      <c r="AH381" t="s">
        <v>671</v>
      </c>
      <c r="AI381" t="s">
        <v>353</v>
      </c>
      <c r="AJ381" t="s">
        <v>941</v>
      </c>
      <c r="AK381" s="1">
        <v>94000</v>
      </c>
      <c r="AL381" s="1">
        <v>0</v>
      </c>
      <c r="AM381" s="1">
        <v>94000</v>
      </c>
      <c r="AN381" s="1">
        <v>47000</v>
      </c>
      <c r="AO381" s="1">
        <v>0</v>
      </c>
      <c r="AP381" s="1">
        <v>47000</v>
      </c>
      <c r="AQ381" s="1">
        <v>71600</v>
      </c>
      <c r="AR381" s="1">
        <v>0</v>
      </c>
      <c r="AS381" s="1">
        <v>71600</v>
      </c>
      <c r="AT381" s="1">
        <v>0</v>
      </c>
      <c r="BA381" s="195"/>
      <c r="BB381" s="195"/>
      <c r="BC381" s="195"/>
      <c r="BD381" s="195"/>
      <c r="BE381" s="195"/>
      <c r="BF381" s="195"/>
      <c r="BG381" s="195"/>
      <c r="BH381" s="195"/>
      <c r="BI381" s="195"/>
    </row>
    <row r="382" spans="1:61" x14ac:dyDescent="0.25">
      <c r="A382" t="s">
        <v>343</v>
      </c>
      <c r="B382" t="s">
        <v>344</v>
      </c>
      <c r="C382" t="s">
        <v>910</v>
      </c>
      <c r="D382" t="s">
        <v>90</v>
      </c>
      <c r="E382" t="s">
        <v>911</v>
      </c>
      <c r="F382" t="s">
        <v>912</v>
      </c>
      <c r="G382" t="s">
        <v>913</v>
      </c>
      <c r="H382" t="s">
        <v>914</v>
      </c>
      <c r="I382" t="s">
        <v>915</v>
      </c>
      <c r="J382" t="s">
        <v>103</v>
      </c>
      <c r="K382" t="s">
        <v>931</v>
      </c>
      <c r="L382" t="s">
        <v>97</v>
      </c>
      <c r="M382" t="s">
        <v>943</v>
      </c>
      <c r="N382" t="s">
        <v>99</v>
      </c>
      <c r="AG382" t="s">
        <v>672</v>
      </c>
      <c r="AH382" t="s">
        <v>673</v>
      </c>
      <c r="AI382" t="s">
        <v>353</v>
      </c>
      <c r="AJ382" t="s">
        <v>943</v>
      </c>
      <c r="AK382" s="1">
        <v>984434.12</v>
      </c>
      <c r="AL382" s="1">
        <v>0</v>
      </c>
      <c r="AM382" s="1">
        <v>984434.12</v>
      </c>
      <c r="AN382" s="1">
        <v>492217.06</v>
      </c>
      <c r="AO382" s="1">
        <v>0</v>
      </c>
      <c r="AP382" s="1">
        <v>492217.06</v>
      </c>
      <c r="AQ382" s="1">
        <v>478729.65</v>
      </c>
      <c r="AR382" s="1">
        <v>0</v>
      </c>
      <c r="AS382" s="1">
        <v>478729.65</v>
      </c>
      <c r="AT382" s="1">
        <v>0</v>
      </c>
      <c r="BA382" s="195"/>
      <c r="BB382" s="195"/>
      <c r="BC382" s="195"/>
      <c r="BD382" s="195"/>
      <c r="BE382" s="195"/>
      <c r="BF382" s="195"/>
      <c r="BG382" s="195"/>
      <c r="BH382" s="195"/>
      <c r="BI382" s="195"/>
    </row>
    <row r="383" spans="1:61" x14ac:dyDescent="0.25">
      <c r="A383" t="s">
        <v>343</v>
      </c>
      <c r="B383" t="s">
        <v>344</v>
      </c>
      <c r="C383" t="s">
        <v>910</v>
      </c>
      <c r="D383" t="s">
        <v>90</v>
      </c>
      <c r="E383" t="s">
        <v>911</v>
      </c>
      <c r="F383" t="s">
        <v>912</v>
      </c>
      <c r="G383" t="s">
        <v>913</v>
      </c>
      <c r="H383" t="s">
        <v>914</v>
      </c>
      <c r="I383" t="s">
        <v>915</v>
      </c>
      <c r="J383" t="s">
        <v>103</v>
      </c>
      <c r="K383" t="s">
        <v>931</v>
      </c>
      <c r="L383" t="s">
        <v>97</v>
      </c>
      <c r="M383" t="s">
        <v>943</v>
      </c>
      <c r="N383" t="s">
        <v>99</v>
      </c>
      <c r="AG383" t="s">
        <v>674</v>
      </c>
      <c r="AH383" t="s">
        <v>675</v>
      </c>
      <c r="AI383" t="s">
        <v>353</v>
      </c>
      <c r="AJ383" t="s">
        <v>943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5522</v>
      </c>
      <c r="AR383" s="1">
        <v>0</v>
      </c>
      <c r="AS383" s="1">
        <v>5522</v>
      </c>
      <c r="AT383" s="1">
        <v>0</v>
      </c>
      <c r="BA383" s="195"/>
      <c r="BB383" s="195"/>
      <c r="BC383" s="195"/>
      <c r="BD383" s="195"/>
      <c r="BE383" s="195"/>
      <c r="BF383" s="195"/>
      <c r="BG383" s="195"/>
      <c r="BH383" s="195"/>
      <c r="BI383" s="195"/>
    </row>
    <row r="384" spans="1:61" x14ac:dyDescent="0.25">
      <c r="A384" t="s">
        <v>343</v>
      </c>
      <c r="B384" t="s">
        <v>344</v>
      </c>
      <c r="C384" t="s">
        <v>910</v>
      </c>
      <c r="D384" t="s">
        <v>90</v>
      </c>
      <c r="E384" t="s">
        <v>911</v>
      </c>
      <c r="F384" t="s">
        <v>912</v>
      </c>
      <c r="G384" t="s">
        <v>913</v>
      </c>
      <c r="H384" t="s">
        <v>914</v>
      </c>
      <c r="I384" t="s">
        <v>915</v>
      </c>
      <c r="J384" t="s">
        <v>103</v>
      </c>
      <c r="K384" t="s">
        <v>931</v>
      </c>
      <c r="L384" t="s">
        <v>97</v>
      </c>
      <c r="M384" t="s">
        <v>943</v>
      </c>
      <c r="N384" t="s">
        <v>99</v>
      </c>
      <c r="AG384" t="s">
        <v>676</v>
      </c>
      <c r="AH384" t="s">
        <v>677</v>
      </c>
      <c r="AI384" t="s">
        <v>353</v>
      </c>
      <c r="AJ384" t="s">
        <v>943</v>
      </c>
      <c r="AK384" s="1">
        <v>915280.52</v>
      </c>
      <c r="AL384" s="1">
        <v>0</v>
      </c>
      <c r="AM384" s="1">
        <v>915280.52</v>
      </c>
      <c r="AN384" s="1">
        <v>457640.26</v>
      </c>
      <c r="AO384" s="1">
        <v>0</v>
      </c>
      <c r="AP384" s="1">
        <v>457640.26</v>
      </c>
      <c r="AQ384" s="1">
        <v>521385.41</v>
      </c>
      <c r="AR384" s="1">
        <v>0</v>
      </c>
      <c r="AS384" s="1">
        <v>521385.41</v>
      </c>
      <c r="AT384" s="1">
        <v>0</v>
      </c>
      <c r="BA384" s="195"/>
      <c r="BB384" s="195"/>
      <c r="BC384" s="195"/>
      <c r="BD384" s="195"/>
      <c r="BE384" s="195"/>
      <c r="BF384" s="195"/>
      <c r="BG384" s="195"/>
      <c r="BH384" s="195"/>
      <c r="BI384" s="195"/>
    </row>
    <row r="385" spans="1:61" x14ac:dyDescent="0.25">
      <c r="A385" t="s">
        <v>343</v>
      </c>
      <c r="B385" t="s">
        <v>344</v>
      </c>
      <c r="C385" t="s">
        <v>910</v>
      </c>
      <c r="D385" t="s">
        <v>90</v>
      </c>
      <c r="E385" t="s">
        <v>911</v>
      </c>
      <c r="F385" t="s">
        <v>912</v>
      </c>
      <c r="G385" t="s">
        <v>913</v>
      </c>
      <c r="H385" t="s">
        <v>914</v>
      </c>
      <c r="I385" t="s">
        <v>915</v>
      </c>
      <c r="J385" t="s">
        <v>103</v>
      </c>
      <c r="K385" t="s">
        <v>931</v>
      </c>
      <c r="L385" t="s">
        <v>97</v>
      </c>
      <c r="M385" t="s">
        <v>943</v>
      </c>
      <c r="N385" t="s">
        <v>99</v>
      </c>
      <c r="AG385" t="s">
        <v>678</v>
      </c>
      <c r="AH385" t="s">
        <v>679</v>
      </c>
      <c r="AI385" t="s">
        <v>353</v>
      </c>
      <c r="AJ385" t="s">
        <v>943</v>
      </c>
      <c r="AK385" s="1">
        <v>-696.5</v>
      </c>
      <c r="AL385" s="1">
        <v>0</v>
      </c>
      <c r="AM385" s="1">
        <v>-696.5</v>
      </c>
      <c r="AN385" s="1">
        <v>-348.25</v>
      </c>
      <c r="AO385" s="1">
        <v>0</v>
      </c>
      <c r="AP385" s="1">
        <v>-348.25</v>
      </c>
      <c r="AQ385" s="1">
        <v>-964.59</v>
      </c>
      <c r="AR385" s="1">
        <v>0</v>
      </c>
      <c r="AS385" s="1">
        <v>-964.59</v>
      </c>
      <c r="AT385" s="1">
        <v>0</v>
      </c>
      <c r="BA385" s="195"/>
      <c r="BB385" s="195"/>
      <c r="BC385" s="195"/>
      <c r="BD385" s="195"/>
      <c r="BE385" s="195"/>
      <c r="BF385" s="195"/>
      <c r="BG385" s="195"/>
      <c r="BH385" s="195"/>
      <c r="BI385" s="195"/>
    </row>
    <row r="386" spans="1:61" x14ac:dyDescent="0.25">
      <c r="A386" t="s">
        <v>343</v>
      </c>
      <c r="B386" t="s">
        <v>344</v>
      </c>
      <c r="C386" t="s">
        <v>910</v>
      </c>
      <c r="D386" t="s">
        <v>90</v>
      </c>
      <c r="E386" t="s">
        <v>911</v>
      </c>
      <c r="F386" t="s">
        <v>912</v>
      </c>
      <c r="G386" t="s">
        <v>913</v>
      </c>
      <c r="H386" t="s">
        <v>914</v>
      </c>
      <c r="I386" t="s">
        <v>915</v>
      </c>
      <c r="J386" t="s">
        <v>103</v>
      </c>
      <c r="K386" t="s">
        <v>931</v>
      </c>
      <c r="L386" t="s">
        <v>97</v>
      </c>
      <c r="M386" t="s">
        <v>943</v>
      </c>
      <c r="N386" t="s">
        <v>99</v>
      </c>
      <c r="AG386" t="s">
        <v>680</v>
      </c>
      <c r="AH386" t="s">
        <v>681</v>
      </c>
      <c r="AI386" t="s">
        <v>353</v>
      </c>
      <c r="AJ386" t="s">
        <v>943</v>
      </c>
      <c r="AK386" s="1">
        <v>318413.86</v>
      </c>
      <c r="AL386" s="1">
        <v>0</v>
      </c>
      <c r="AM386" s="1">
        <v>318413.86</v>
      </c>
      <c r="AN386" s="1">
        <v>159206.93</v>
      </c>
      <c r="AO386" s="1">
        <v>0</v>
      </c>
      <c r="AP386" s="1">
        <v>159206.93</v>
      </c>
      <c r="AQ386" s="1">
        <v>164739.63</v>
      </c>
      <c r="AR386" s="1">
        <v>0</v>
      </c>
      <c r="AS386" s="1">
        <v>164739.63</v>
      </c>
      <c r="AT386" s="1">
        <v>0</v>
      </c>
      <c r="BA386" s="195"/>
      <c r="BB386" s="195"/>
      <c r="BC386" s="195"/>
      <c r="BD386" s="195"/>
      <c r="BE386" s="195"/>
      <c r="BF386" s="195"/>
      <c r="BG386" s="195"/>
      <c r="BH386" s="195"/>
      <c r="BI386" s="195"/>
    </row>
    <row r="387" spans="1:61" x14ac:dyDescent="0.25">
      <c r="A387" t="s">
        <v>343</v>
      </c>
      <c r="B387" t="s">
        <v>344</v>
      </c>
      <c r="C387" t="s">
        <v>910</v>
      </c>
      <c r="D387" t="s">
        <v>90</v>
      </c>
      <c r="E387" t="s">
        <v>911</v>
      </c>
      <c r="F387" t="s">
        <v>912</v>
      </c>
      <c r="G387" t="s">
        <v>913</v>
      </c>
      <c r="H387" t="s">
        <v>914</v>
      </c>
      <c r="I387" t="s">
        <v>915</v>
      </c>
      <c r="J387" t="s">
        <v>103</v>
      </c>
      <c r="K387" t="s">
        <v>931</v>
      </c>
      <c r="L387" t="s">
        <v>97</v>
      </c>
      <c r="M387" t="s">
        <v>943</v>
      </c>
      <c r="N387" t="s">
        <v>99</v>
      </c>
      <c r="AG387" t="s">
        <v>682</v>
      </c>
      <c r="AH387" t="s">
        <v>683</v>
      </c>
      <c r="AI387" t="s">
        <v>353</v>
      </c>
      <c r="AJ387" t="s">
        <v>943</v>
      </c>
      <c r="AK387" s="1">
        <v>227233.36</v>
      </c>
      <c r="AL387" s="1">
        <v>0</v>
      </c>
      <c r="AM387" s="1">
        <v>227233.36</v>
      </c>
      <c r="AN387" s="1">
        <v>113616.68</v>
      </c>
      <c r="AO387" s="1">
        <v>0</v>
      </c>
      <c r="AP387" s="1">
        <v>113616.68</v>
      </c>
      <c r="AQ387" s="1">
        <v>118049.99</v>
      </c>
      <c r="AR387" s="1">
        <v>0</v>
      </c>
      <c r="AS387" s="1">
        <v>118049.99</v>
      </c>
      <c r="AT387" s="1">
        <v>0</v>
      </c>
      <c r="BA387" s="195"/>
      <c r="BB387" s="195"/>
      <c r="BC387" s="195"/>
      <c r="BD387" s="195"/>
      <c r="BE387" s="195"/>
      <c r="BF387" s="195"/>
      <c r="BG387" s="195"/>
      <c r="BH387" s="195"/>
      <c r="BI387" s="195"/>
    </row>
    <row r="388" spans="1:61" x14ac:dyDescent="0.25">
      <c r="A388" t="s">
        <v>343</v>
      </c>
      <c r="B388" t="s">
        <v>344</v>
      </c>
      <c r="C388" t="s">
        <v>910</v>
      </c>
      <c r="D388" t="s">
        <v>90</v>
      </c>
      <c r="E388" t="s">
        <v>911</v>
      </c>
      <c r="F388" t="s">
        <v>912</v>
      </c>
      <c r="G388" t="s">
        <v>913</v>
      </c>
      <c r="H388" t="s">
        <v>914</v>
      </c>
      <c r="I388" t="s">
        <v>915</v>
      </c>
      <c r="J388" t="s">
        <v>103</v>
      </c>
      <c r="K388" t="s">
        <v>931</v>
      </c>
      <c r="L388" t="s">
        <v>97</v>
      </c>
      <c r="M388" t="s">
        <v>943</v>
      </c>
      <c r="N388" t="s">
        <v>99</v>
      </c>
      <c r="AG388" t="s">
        <v>684</v>
      </c>
      <c r="AH388" t="s">
        <v>685</v>
      </c>
      <c r="AI388" t="s">
        <v>353</v>
      </c>
      <c r="AJ388" t="s">
        <v>943</v>
      </c>
      <c r="AK388" s="1">
        <v>71602.039999999994</v>
      </c>
      <c r="AL388" s="1">
        <v>0</v>
      </c>
      <c r="AM388" s="1">
        <v>71602.039999999994</v>
      </c>
      <c r="AN388" s="1">
        <v>35801.019999999997</v>
      </c>
      <c r="AO388" s="1">
        <v>0</v>
      </c>
      <c r="AP388" s="1">
        <v>35801.019999999997</v>
      </c>
      <c r="AQ388" s="1">
        <v>36793.81</v>
      </c>
      <c r="AR388" s="1">
        <v>0</v>
      </c>
      <c r="AS388" s="1">
        <v>36793.81</v>
      </c>
      <c r="AT388" s="1">
        <v>0</v>
      </c>
      <c r="BA388" s="195"/>
      <c r="BB388" s="195"/>
      <c r="BC388" s="195"/>
      <c r="BD388" s="195"/>
      <c r="BE388" s="195"/>
      <c r="BF388" s="195"/>
      <c r="BG388" s="195"/>
      <c r="BH388" s="195"/>
      <c r="BI388" s="195"/>
    </row>
    <row r="389" spans="1:61" x14ac:dyDescent="0.25">
      <c r="A389" t="s">
        <v>343</v>
      </c>
      <c r="B389" t="s">
        <v>344</v>
      </c>
      <c r="C389" t="s">
        <v>910</v>
      </c>
      <c r="D389" t="s">
        <v>90</v>
      </c>
      <c r="E389" t="s">
        <v>911</v>
      </c>
      <c r="F389" t="s">
        <v>912</v>
      </c>
      <c r="G389" t="s">
        <v>913</v>
      </c>
      <c r="H389" t="s">
        <v>914</v>
      </c>
      <c r="I389" t="s">
        <v>915</v>
      </c>
      <c r="J389" t="s">
        <v>103</v>
      </c>
      <c r="K389" t="s">
        <v>931</v>
      </c>
      <c r="L389" t="s">
        <v>97</v>
      </c>
      <c r="M389" t="s">
        <v>943</v>
      </c>
      <c r="N389" t="s">
        <v>99</v>
      </c>
      <c r="AG389" t="s">
        <v>686</v>
      </c>
      <c r="AH389" t="s">
        <v>687</v>
      </c>
      <c r="AI389" t="s">
        <v>353</v>
      </c>
      <c r="AJ389" t="s">
        <v>943</v>
      </c>
      <c r="AK389" s="1">
        <v>80355.66</v>
      </c>
      <c r="AL389" s="1">
        <v>0</v>
      </c>
      <c r="AM389" s="1">
        <v>80355.66</v>
      </c>
      <c r="AN389" s="1">
        <v>40177.83</v>
      </c>
      <c r="AO389" s="1">
        <v>0</v>
      </c>
      <c r="AP389" s="1">
        <v>40177.83</v>
      </c>
      <c r="AQ389" s="1">
        <v>38975.730000000003</v>
      </c>
      <c r="AR389" s="1">
        <v>0</v>
      </c>
      <c r="AS389" s="1">
        <v>38975.730000000003</v>
      </c>
      <c r="AT389" s="1">
        <v>0</v>
      </c>
      <c r="BA389" s="195"/>
      <c r="BB389" s="195"/>
      <c r="BC389" s="195"/>
      <c r="BD389" s="195"/>
      <c r="BE389" s="195"/>
      <c r="BF389" s="195"/>
      <c r="BG389" s="195"/>
      <c r="BH389" s="195"/>
      <c r="BI389" s="195"/>
    </row>
    <row r="390" spans="1:61" x14ac:dyDescent="0.25">
      <c r="A390" t="s">
        <v>343</v>
      </c>
      <c r="B390" t="s">
        <v>344</v>
      </c>
      <c r="C390" t="s">
        <v>910</v>
      </c>
      <c r="D390" t="s">
        <v>90</v>
      </c>
      <c r="E390" t="s">
        <v>911</v>
      </c>
      <c r="F390" t="s">
        <v>912</v>
      </c>
      <c r="G390" t="s">
        <v>913</v>
      </c>
      <c r="H390" t="s">
        <v>914</v>
      </c>
      <c r="I390" t="s">
        <v>915</v>
      </c>
      <c r="J390" t="s">
        <v>103</v>
      </c>
      <c r="K390" t="s">
        <v>931</v>
      </c>
      <c r="L390" t="s">
        <v>97</v>
      </c>
      <c r="M390" t="s">
        <v>943</v>
      </c>
      <c r="N390" t="s">
        <v>99</v>
      </c>
      <c r="AG390" t="s">
        <v>688</v>
      </c>
      <c r="AH390" t="s">
        <v>689</v>
      </c>
      <c r="AI390" t="s">
        <v>353</v>
      </c>
      <c r="AJ390" t="s">
        <v>943</v>
      </c>
      <c r="AK390" s="1">
        <v>297952.96000000002</v>
      </c>
      <c r="AL390" s="1">
        <v>0</v>
      </c>
      <c r="AM390" s="1">
        <v>297952.96000000002</v>
      </c>
      <c r="AN390" s="1">
        <v>148976.48000000001</v>
      </c>
      <c r="AO390" s="1">
        <v>0</v>
      </c>
      <c r="AP390" s="1">
        <v>148976.48000000001</v>
      </c>
      <c r="AQ390" s="1">
        <v>155107.07</v>
      </c>
      <c r="AR390" s="1">
        <v>0</v>
      </c>
      <c r="AS390" s="1">
        <v>155107.07</v>
      </c>
      <c r="AT390" s="1">
        <v>0</v>
      </c>
      <c r="BA390" s="195"/>
      <c r="BB390" s="195"/>
      <c r="BC390" s="195"/>
      <c r="BD390" s="195"/>
      <c r="BE390" s="195"/>
      <c r="BF390" s="195"/>
      <c r="BG390" s="195"/>
      <c r="BH390" s="195"/>
      <c r="BI390" s="195"/>
    </row>
    <row r="391" spans="1:61" x14ac:dyDescent="0.25">
      <c r="A391" t="s">
        <v>343</v>
      </c>
      <c r="B391" t="s">
        <v>344</v>
      </c>
      <c r="C391" t="s">
        <v>910</v>
      </c>
      <c r="D391" t="s">
        <v>90</v>
      </c>
      <c r="E391" t="s">
        <v>911</v>
      </c>
      <c r="F391" t="s">
        <v>912</v>
      </c>
      <c r="G391" t="s">
        <v>913</v>
      </c>
      <c r="H391" t="s">
        <v>914</v>
      </c>
      <c r="I391" t="s">
        <v>915</v>
      </c>
      <c r="J391" t="s">
        <v>103</v>
      </c>
      <c r="K391" t="s">
        <v>931</v>
      </c>
      <c r="L391" t="s">
        <v>97</v>
      </c>
      <c r="M391" t="s">
        <v>943</v>
      </c>
      <c r="N391" t="s">
        <v>99</v>
      </c>
      <c r="AG391" t="s">
        <v>690</v>
      </c>
      <c r="AH391" t="s">
        <v>691</v>
      </c>
      <c r="AI391" t="s">
        <v>353</v>
      </c>
      <c r="AJ391" t="s">
        <v>943</v>
      </c>
      <c r="AK391" s="1">
        <v>52927.32</v>
      </c>
      <c r="AL391" s="1">
        <v>0</v>
      </c>
      <c r="AM391" s="1">
        <v>52927.32</v>
      </c>
      <c r="AN391" s="1">
        <v>26463.66</v>
      </c>
      <c r="AO391" s="1">
        <v>0</v>
      </c>
      <c r="AP391" s="1">
        <v>26463.66</v>
      </c>
      <c r="AQ391" s="1">
        <v>19888.68</v>
      </c>
      <c r="AR391" s="1">
        <v>0</v>
      </c>
      <c r="AS391" s="1">
        <v>19888.68</v>
      </c>
      <c r="AT391" s="1">
        <v>0</v>
      </c>
      <c r="BA391" s="195"/>
      <c r="BB391" s="195"/>
      <c r="BC391" s="195"/>
      <c r="BD391" s="195"/>
      <c r="BE391" s="195"/>
      <c r="BF391" s="195"/>
      <c r="BG391" s="195"/>
      <c r="BH391" s="195"/>
      <c r="BI391" s="195"/>
    </row>
    <row r="392" spans="1:61" x14ac:dyDescent="0.25">
      <c r="A392" t="s">
        <v>343</v>
      </c>
      <c r="B392" t="s">
        <v>344</v>
      </c>
      <c r="C392" t="s">
        <v>910</v>
      </c>
      <c r="D392" t="s">
        <v>90</v>
      </c>
      <c r="E392" t="s">
        <v>911</v>
      </c>
      <c r="F392" t="s">
        <v>912</v>
      </c>
      <c r="G392" t="s">
        <v>913</v>
      </c>
      <c r="H392" t="s">
        <v>914</v>
      </c>
      <c r="I392" t="s">
        <v>915</v>
      </c>
      <c r="J392" t="s">
        <v>103</v>
      </c>
      <c r="K392" t="s">
        <v>931</v>
      </c>
      <c r="L392" t="s">
        <v>97</v>
      </c>
      <c r="M392" t="s">
        <v>943</v>
      </c>
      <c r="N392" t="s">
        <v>99</v>
      </c>
      <c r="AG392" t="s">
        <v>692</v>
      </c>
      <c r="AH392" t="s">
        <v>693</v>
      </c>
      <c r="AI392" t="s">
        <v>353</v>
      </c>
      <c r="AJ392" t="s">
        <v>943</v>
      </c>
      <c r="AK392" s="1">
        <v>8838.16</v>
      </c>
      <c r="AL392" s="1">
        <v>0</v>
      </c>
      <c r="AM392" s="1">
        <v>8838.16</v>
      </c>
      <c r="AN392" s="1">
        <v>4419.08</v>
      </c>
      <c r="AO392" s="1">
        <v>0</v>
      </c>
      <c r="AP392" s="1">
        <v>4419.08</v>
      </c>
      <c r="AQ392" s="1">
        <v>4838.63</v>
      </c>
      <c r="AR392" s="1">
        <v>0</v>
      </c>
      <c r="AS392" s="1">
        <v>4838.63</v>
      </c>
      <c r="AT392" s="1">
        <v>0</v>
      </c>
      <c r="BA392" s="195"/>
      <c r="BB392" s="195"/>
      <c r="BC392" s="195"/>
      <c r="BD392" s="195"/>
      <c r="BE392" s="195"/>
      <c r="BF392" s="195"/>
      <c r="BG392" s="195"/>
      <c r="BH392" s="195"/>
      <c r="BI392" s="195"/>
    </row>
    <row r="393" spans="1:61" x14ac:dyDescent="0.25">
      <c r="A393" t="s">
        <v>343</v>
      </c>
      <c r="B393" t="s">
        <v>344</v>
      </c>
      <c r="C393" t="s">
        <v>910</v>
      </c>
      <c r="D393" t="s">
        <v>90</v>
      </c>
      <c r="E393" t="s">
        <v>911</v>
      </c>
      <c r="F393" t="s">
        <v>912</v>
      </c>
      <c r="G393" t="s">
        <v>913</v>
      </c>
      <c r="H393" t="s">
        <v>914</v>
      </c>
      <c r="I393" t="s">
        <v>915</v>
      </c>
      <c r="J393" t="s">
        <v>103</v>
      </c>
      <c r="K393" t="s">
        <v>931</v>
      </c>
      <c r="L393" t="s">
        <v>97</v>
      </c>
      <c r="M393" t="s">
        <v>943</v>
      </c>
      <c r="N393" t="s">
        <v>99</v>
      </c>
      <c r="AG393" t="s">
        <v>694</v>
      </c>
      <c r="AH393" t="s">
        <v>695</v>
      </c>
      <c r="AI393" t="s">
        <v>353</v>
      </c>
      <c r="AJ393" t="s">
        <v>943</v>
      </c>
      <c r="AK393" s="1">
        <v>70759.600000000006</v>
      </c>
      <c r="AL393" s="1">
        <v>0</v>
      </c>
      <c r="AM393" s="1">
        <v>70759.600000000006</v>
      </c>
      <c r="AN393" s="1">
        <v>35379.800000000003</v>
      </c>
      <c r="AO393" s="1">
        <v>0</v>
      </c>
      <c r="AP393" s="1">
        <v>35379.800000000003</v>
      </c>
      <c r="AQ393" s="1">
        <v>31361.8</v>
      </c>
      <c r="AR393" s="1">
        <v>0</v>
      </c>
      <c r="AS393" s="1">
        <v>31361.8</v>
      </c>
      <c r="AT393" s="1">
        <v>0</v>
      </c>
      <c r="BA393" s="195"/>
      <c r="BB393" s="195"/>
      <c r="BC393" s="195"/>
      <c r="BD393" s="195"/>
      <c r="BE393" s="195"/>
      <c r="BF393" s="195"/>
      <c r="BG393" s="195"/>
      <c r="BH393" s="195"/>
      <c r="BI393" s="195"/>
    </row>
    <row r="394" spans="1:61" x14ac:dyDescent="0.25">
      <c r="A394" t="s">
        <v>343</v>
      </c>
      <c r="B394" t="s">
        <v>344</v>
      </c>
      <c r="C394" t="s">
        <v>910</v>
      </c>
      <c r="D394" t="s">
        <v>90</v>
      </c>
      <c r="E394" t="s">
        <v>911</v>
      </c>
      <c r="F394" t="s">
        <v>912</v>
      </c>
      <c r="G394" t="s">
        <v>913</v>
      </c>
      <c r="H394" t="s">
        <v>914</v>
      </c>
      <c r="I394" t="s">
        <v>915</v>
      </c>
      <c r="J394" t="s">
        <v>103</v>
      </c>
      <c r="K394" t="s">
        <v>931</v>
      </c>
      <c r="L394" t="s">
        <v>97</v>
      </c>
      <c r="M394" t="s">
        <v>943</v>
      </c>
      <c r="N394" t="s">
        <v>99</v>
      </c>
      <c r="AG394" t="s">
        <v>696</v>
      </c>
      <c r="AH394" t="s">
        <v>697</v>
      </c>
      <c r="AI394" t="s">
        <v>353</v>
      </c>
      <c r="AJ394" t="s">
        <v>943</v>
      </c>
      <c r="AK394" s="1">
        <v>12630</v>
      </c>
      <c r="AL394" s="1">
        <v>0</v>
      </c>
      <c r="AM394" s="1">
        <v>12630</v>
      </c>
      <c r="AN394" s="1">
        <v>6315</v>
      </c>
      <c r="AO394" s="1">
        <v>0</v>
      </c>
      <c r="AP394" s="1">
        <v>6315</v>
      </c>
      <c r="AQ394" s="1">
        <v>9428.26</v>
      </c>
      <c r="AR394" s="1">
        <v>0</v>
      </c>
      <c r="AS394" s="1">
        <v>9428.26</v>
      </c>
      <c r="AT394" s="1">
        <v>0</v>
      </c>
      <c r="BA394" s="195"/>
      <c r="BB394" s="195"/>
      <c r="BC394" s="195"/>
      <c r="BD394" s="195"/>
      <c r="BE394" s="195"/>
      <c r="BF394" s="195"/>
      <c r="BG394" s="195"/>
      <c r="BH394" s="195"/>
      <c r="BI394" s="195"/>
    </row>
    <row r="395" spans="1:61" x14ac:dyDescent="0.25">
      <c r="A395" t="s">
        <v>343</v>
      </c>
      <c r="B395" t="s">
        <v>344</v>
      </c>
      <c r="C395" t="s">
        <v>910</v>
      </c>
      <c r="D395" t="s">
        <v>90</v>
      </c>
      <c r="E395" t="s">
        <v>911</v>
      </c>
      <c r="F395" t="s">
        <v>912</v>
      </c>
      <c r="G395" t="s">
        <v>913</v>
      </c>
      <c r="H395" t="s">
        <v>914</v>
      </c>
      <c r="I395" t="s">
        <v>915</v>
      </c>
      <c r="J395" t="s">
        <v>103</v>
      </c>
      <c r="K395" t="s">
        <v>931</v>
      </c>
      <c r="L395" t="s">
        <v>97</v>
      </c>
      <c r="M395" t="s">
        <v>943</v>
      </c>
      <c r="N395" t="s">
        <v>99</v>
      </c>
      <c r="AG395" t="s">
        <v>698</v>
      </c>
      <c r="AH395" t="s">
        <v>699</v>
      </c>
      <c r="AI395" t="s">
        <v>353</v>
      </c>
      <c r="AJ395" t="s">
        <v>943</v>
      </c>
      <c r="AK395" s="1">
        <v>573.54</v>
      </c>
      <c r="AL395" s="1">
        <v>0</v>
      </c>
      <c r="AM395" s="1">
        <v>573.54</v>
      </c>
      <c r="AN395" s="1">
        <v>286.77</v>
      </c>
      <c r="AO395" s="1">
        <v>0</v>
      </c>
      <c r="AP395" s="1">
        <v>286.77</v>
      </c>
      <c r="AQ395" s="1">
        <v>0</v>
      </c>
      <c r="AR395" s="1">
        <v>0</v>
      </c>
      <c r="AS395" s="1">
        <v>0</v>
      </c>
      <c r="AT395" s="1">
        <v>0</v>
      </c>
      <c r="BA395" s="195"/>
      <c r="BB395" s="195"/>
      <c r="BC395" s="195"/>
      <c r="BD395" s="195"/>
      <c r="BE395" s="195"/>
      <c r="BF395" s="195"/>
      <c r="BG395" s="195"/>
      <c r="BH395" s="195"/>
      <c r="BI395" s="195"/>
    </row>
    <row r="396" spans="1:61" x14ac:dyDescent="0.25">
      <c r="A396" t="s">
        <v>343</v>
      </c>
      <c r="B396" t="s">
        <v>344</v>
      </c>
      <c r="C396" t="s">
        <v>910</v>
      </c>
      <c r="D396" t="s">
        <v>90</v>
      </c>
      <c r="E396" t="s">
        <v>911</v>
      </c>
      <c r="F396" t="s">
        <v>912</v>
      </c>
      <c r="G396" t="s">
        <v>913</v>
      </c>
      <c r="H396" t="s">
        <v>914</v>
      </c>
      <c r="I396" t="s">
        <v>915</v>
      </c>
      <c r="J396" t="s">
        <v>103</v>
      </c>
      <c r="K396" t="s">
        <v>931</v>
      </c>
      <c r="L396" t="s">
        <v>97</v>
      </c>
      <c r="M396" t="s">
        <v>943</v>
      </c>
      <c r="N396" t="s">
        <v>99</v>
      </c>
      <c r="AG396" t="s">
        <v>700</v>
      </c>
      <c r="AH396" t="s">
        <v>701</v>
      </c>
      <c r="AI396" t="s">
        <v>353</v>
      </c>
      <c r="AJ396" t="s">
        <v>943</v>
      </c>
      <c r="AK396" s="1">
        <v>48622</v>
      </c>
      <c r="AL396" s="1">
        <v>0</v>
      </c>
      <c r="AM396" s="1">
        <v>48622</v>
      </c>
      <c r="AN396" s="1">
        <v>24311</v>
      </c>
      <c r="AO396" s="1">
        <v>0</v>
      </c>
      <c r="AP396" s="1">
        <v>24311</v>
      </c>
      <c r="AQ396" s="1">
        <v>25323</v>
      </c>
      <c r="AR396" s="1">
        <v>0</v>
      </c>
      <c r="AS396" s="1">
        <v>25323</v>
      </c>
      <c r="AT396" s="1">
        <v>0</v>
      </c>
      <c r="BA396" s="195"/>
      <c r="BB396" s="195"/>
      <c r="BC396" s="195"/>
      <c r="BD396" s="195"/>
      <c r="BE396" s="195"/>
      <c r="BF396" s="195"/>
      <c r="BG396" s="195"/>
      <c r="BH396" s="195"/>
      <c r="BI396" s="195"/>
    </row>
    <row r="397" spans="1:61" x14ac:dyDescent="0.25">
      <c r="A397" t="s">
        <v>343</v>
      </c>
      <c r="B397" t="s">
        <v>344</v>
      </c>
      <c r="C397" t="s">
        <v>910</v>
      </c>
      <c r="D397" t="s">
        <v>90</v>
      </c>
      <c r="E397" t="s">
        <v>911</v>
      </c>
      <c r="F397" t="s">
        <v>912</v>
      </c>
      <c r="G397" t="s">
        <v>913</v>
      </c>
      <c r="H397" t="s">
        <v>914</v>
      </c>
      <c r="I397" t="s">
        <v>915</v>
      </c>
      <c r="J397" t="s">
        <v>103</v>
      </c>
      <c r="K397" t="s">
        <v>931</v>
      </c>
      <c r="L397" t="s">
        <v>97</v>
      </c>
      <c r="M397" t="s">
        <v>943</v>
      </c>
      <c r="N397" t="s">
        <v>99</v>
      </c>
      <c r="AG397" t="s">
        <v>702</v>
      </c>
      <c r="AH397" t="s">
        <v>703</v>
      </c>
      <c r="AI397" t="s">
        <v>353</v>
      </c>
      <c r="AJ397" t="s">
        <v>943</v>
      </c>
      <c r="AK397" s="1">
        <v>57275.62</v>
      </c>
      <c r="AL397" s="1">
        <v>0</v>
      </c>
      <c r="AM397" s="1">
        <v>57275.62</v>
      </c>
      <c r="AN397" s="1">
        <v>28637.81</v>
      </c>
      <c r="AO397" s="1">
        <v>0</v>
      </c>
      <c r="AP397" s="1">
        <v>28637.81</v>
      </c>
      <c r="AQ397" s="1">
        <v>15324.77</v>
      </c>
      <c r="AR397" s="1">
        <v>0</v>
      </c>
      <c r="AS397" s="1">
        <v>15324.77</v>
      </c>
      <c r="AT397" s="1">
        <v>0</v>
      </c>
      <c r="BA397" s="195"/>
      <c r="BB397" s="195"/>
      <c r="BC397" s="195"/>
      <c r="BD397" s="195"/>
      <c r="BE397" s="195"/>
      <c r="BF397" s="195"/>
      <c r="BG397" s="195"/>
      <c r="BH397" s="195"/>
      <c r="BI397" s="195"/>
    </row>
    <row r="398" spans="1:61" x14ac:dyDescent="0.25">
      <c r="A398" t="s">
        <v>343</v>
      </c>
      <c r="B398" t="s">
        <v>344</v>
      </c>
      <c r="C398" t="s">
        <v>910</v>
      </c>
      <c r="D398" t="s">
        <v>90</v>
      </c>
      <c r="E398" t="s">
        <v>911</v>
      </c>
      <c r="F398" t="s">
        <v>912</v>
      </c>
      <c r="G398" t="s">
        <v>913</v>
      </c>
      <c r="H398" t="s">
        <v>914</v>
      </c>
      <c r="I398" t="s">
        <v>915</v>
      </c>
      <c r="J398" t="s">
        <v>103</v>
      </c>
      <c r="K398" t="s">
        <v>931</v>
      </c>
      <c r="L398" t="s">
        <v>97</v>
      </c>
      <c r="M398" t="s">
        <v>944</v>
      </c>
      <c r="N398" t="s">
        <v>100</v>
      </c>
      <c r="O398" t="s">
        <v>945</v>
      </c>
      <c r="P398" t="s">
        <v>101</v>
      </c>
      <c r="AG398" t="s">
        <v>717</v>
      </c>
      <c r="AH398" t="s">
        <v>718</v>
      </c>
      <c r="AI398" t="s">
        <v>353</v>
      </c>
      <c r="AJ398" t="s">
        <v>945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4396.37</v>
      </c>
      <c r="AR398" s="1">
        <v>0</v>
      </c>
      <c r="AS398" s="1">
        <v>4396.37</v>
      </c>
      <c r="AT398" s="1">
        <v>0</v>
      </c>
      <c r="BA398" s="195"/>
      <c r="BB398" s="195"/>
      <c r="BC398" s="195"/>
      <c r="BD398" s="195"/>
      <c r="BE398" s="195"/>
      <c r="BF398" s="195"/>
      <c r="BG398" s="195"/>
      <c r="BH398" s="195"/>
      <c r="BI398" s="195"/>
    </row>
    <row r="399" spans="1:61" x14ac:dyDescent="0.25">
      <c r="A399" t="s">
        <v>343</v>
      </c>
      <c r="B399" t="s">
        <v>344</v>
      </c>
      <c r="C399" t="s">
        <v>910</v>
      </c>
      <c r="D399" t="s">
        <v>90</v>
      </c>
      <c r="E399" t="s">
        <v>911</v>
      </c>
      <c r="F399" t="s">
        <v>912</v>
      </c>
      <c r="G399" t="s">
        <v>913</v>
      </c>
      <c r="H399" t="s">
        <v>914</v>
      </c>
      <c r="I399" t="s">
        <v>915</v>
      </c>
      <c r="J399" t="s">
        <v>103</v>
      </c>
      <c r="K399" t="s">
        <v>931</v>
      </c>
      <c r="L399" t="s">
        <v>97</v>
      </c>
      <c r="M399" t="s">
        <v>944</v>
      </c>
      <c r="N399" t="s">
        <v>100</v>
      </c>
      <c r="O399" t="s">
        <v>945</v>
      </c>
      <c r="P399" t="s">
        <v>101</v>
      </c>
      <c r="AG399" t="s">
        <v>719</v>
      </c>
      <c r="AH399" t="s">
        <v>720</v>
      </c>
      <c r="AI399" t="s">
        <v>353</v>
      </c>
      <c r="AJ399" t="s">
        <v>945</v>
      </c>
      <c r="AK399" s="1">
        <v>1106.96</v>
      </c>
      <c r="AL399" s="1">
        <v>0</v>
      </c>
      <c r="AM399" s="1">
        <v>1106.96</v>
      </c>
      <c r="AN399" s="1">
        <v>553.48</v>
      </c>
      <c r="AO399" s="1">
        <v>0</v>
      </c>
      <c r="AP399" s="1">
        <v>553.48</v>
      </c>
      <c r="AQ399" s="1">
        <v>518.25</v>
      </c>
      <c r="AR399" s="1">
        <v>0</v>
      </c>
      <c r="AS399" s="1">
        <v>518.25</v>
      </c>
      <c r="AT399" s="1">
        <v>0</v>
      </c>
      <c r="BA399" s="195"/>
      <c r="BB399" s="195"/>
      <c r="BC399" s="195"/>
      <c r="BD399" s="195"/>
      <c r="BE399" s="195"/>
      <c r="BF399" s="195"/>
      <c r="BG399" s="195"/>
      <c r="BH399" s="195"/>
      <c r="BI399" s="195"/>
    </row>
    <row r="400" spans="1:61" x14ac:dyDescent="0.25">
      <c r="A400" t="s">
        <v>343</v>
      </c>
      <c r="B400" t="s">
        <v>344</v>
      </c>
      <c r="C400" t="s">
        <v>910</v>
      </c>
      <c r="D400" t="s">
        <v>90</v>
      </c>
      <c r="E400" t="s">
        <v>911</v>
      </c>
      <c r="F400" t="s">
        <v>912</v>
      </c>
      <c r="G400" t="s">
        <v>913</v>
      </c>
      <c r="H400" t="s">
        <v>914</v>
      </c>
      <c r="I400" t="s">
        <v>915</v>
      </c>
      <c r="J400" t="s">
        <v>103</v>
      </c>
      <c r="K400" t="s">
        <v>931</v>
      </c>
      <c r="L400" t="s">
        <v>97</v>
      </c>
      <c r="M400" t="s">
        <v>944</v>
      </c>
      <c r="N400" t="s">
        <v>100</v>
      </c>
      <c r="O400" t="s">
        <v>945</v>
      </c>
      <c r="P400" t="s">
        <v>101</v>
      </c>
      <c r="AG400" t="s">
        <v>721</v>
      </c>
      <c r="AH400" t="s">
        <v>722</v>
      </c>
      <c r="AI400" t="s">
        <v>353</v>
      </c>
      <c r="AJ400" t="s">
        <v>945</v>
      </c>
      <c r="AK400" s="1">
        <v>31257.54</v>
      </c>
      <c r="AL400" s="1">
        <v>0</v>
      </c>
      <c r="AM400" s="1">
        <v>31257.54</v>
      </c>
      <c r="AN400" s="1">
        <v>15628.77</v>
      </c>
      <c r="AO400" s="1">
        <v>0</v>
      </c>
      <c r="AP400" s="1">
        <v>15628.77</v>
      </c>
      <c r="AQ400" s="1">
        <v>22130.61</v>
      </c>
      <c r="AR400" s="1">
        <v>0</v>
      </c>
      <c r="AS400" s="1">
        <v>22130.61</v>
      </c>
      <c r="AT400" s="1">
        <v>0</v>
      </c>
      <c r="BA400" s="195"/>
      <c r="BB400" s="195"/>
      <c r="BC400" s="195"/>
      <c r="BD400" s="195"/>
      <c r="BE400" s="195"/>
      <c r="BF400" s="195"/>
      <c r="BG400" s="195"/>
      <c r="BH400" s="195"/>
      <c r="BI400" s="195"/>
    </row>
    <row r="401" spans="1:61" x14ac:dyDescent="0.25">
      <c r="A401" t="s">
        <v>343</v>
      </c>
      <c r="B401" t="s">
        <v>344</v>
      </c>
      <c r="C401" t="s">
        <v>910</v>
      </c>
      <c r="D401" t="s">
        <v>90</v>
      </c>
      <c r="E401" t="s">
        <v>911</v>
      </c>
      <c r="F401" t="s">
        <v>912</v>
      </c>
      <c r="G401" t="s">
        <v>913</v>
      </c>
      <c r="H401" t="s">
        <v>914</v>
      </c>
      <c r="I401" t="s">
        <v>915</v>
      </c>
      <c r="J401" t="s">
        <v>103</v>
      </c>
      <c r="K401" t="s">
        <v>931</v>
      </c>
      <c r="L401" t="s">
        <v>97</v>
      </c>
      <c r="M401" t="s">
        <v>944</v>
      </c>
      <c r="N401" t="s">
        <v>100</v>
      </c>
      <c r="O401" t="s">
        <v>945</v>
      </c>
      <c r="P401" t="s">
        <v>101</v>
      </c>
      <c r="AG401" t="s">
        <v>723</v>
      </c>
      <c r="AH401" t="s">
        <v>724</v>
      </c>
      <c r="AI401" t="s">
        <v>353</v>
      </c>
      <c r="AJ401" t="s">
        <v>945</v>
      </c>
      <c r="AK401" s="1">
        <v>16386.16</v>
      </c>
      <c r="AL401" s="1">
        <v>0</v>
      </c>
      <c r="AM401" s="1">
        <v>16386.16</v>
      </c>
      <c r="AN401" s="1">
        <v>8193.08</v>
      </c>
      <c r="AO401" s="1">
        <v>0</v>
      </c>
      <c r="AP401" s="1">
        <v>8193.08</v>
      </c>
      <c r="AQ401" s="1">
        <v>7841.55</v>
      </c>
      <c r="AR401" s="1">
        <v>0</v>
      </c>
      <c r="AS401" s="1">
        <v>7841.55</v>
      </c>
      <c r="AT401" s="1">
        <v>0</v>
      </c>
      <c r="BA401" s="195"/>
      <c r="BB401" s="195"/>
      <c r="BC401" s="195"/>
      <c r="BD401" s="195"/>
      <c r="BE401" s="195"/>
      <c r="BF401" s="195"/>
      <c r="BG401" s="195"/>
      <c r="BH401" s="195"/>
      <c r="BI401" s="195"/>
    </row>
    <row r="402" spans="1:61" x14ac:dyDescent="0.25">
      <c r="A402" t="s">
        <v>343</v>
      </c>
      <c r="B402" t="s">
        <v>344</v>
      </c>
      <c r="C402" t="s">
        <v>910</v>
      </c>
      <c r="D402" t="s">
        <v>90</v>
      </c>
      <c r="E402" t="s">
        <v>911</v>
      </c>
      <c r="F402" t="s">
        <v>912</v>
      </c>
      <c r="G402" t="s">
        <v>913</v>
      </c>
      <c r="H402" t="s">
        <v>914</v>
      </c>
      <c r="I402" t="s">
        <v>915</v>
      </c>
      <c r="J402" t="s">
        <v>103</v>
      </c>
      <c r="K402" t="s">
        <v>931</v>
      </c>
      <c r="L402" t="s">
        <v>97</v>
      </c>
      <c r="M402" t="s">
        <v>944</v>
      </c>
      <c r="N402" t="s">
        <v>100</v>
      </c>
      <c r="O402" t="s">
        <v>946</v>
      </c>
      <c r="P402" t="s">
        <v>947</v>
      </c>
      <c r="AG402" t="s">
        <v>727</v>
      </c>
      <c r="AH402" t="s">
        <v>728</v>
      </c>
      <c r="AI402" t="s">
        <v>353</v>
      </c>
      <c r="AJ402" t="s">
        <v>946</v>
      </c>
      <c r="AK402" s="1">
        <v>12195.84</v>
      </c>
      <c r="AL402" s="1">
        <v>0</v>
      </c>
      <c r="AM402" s="1">
        <v>12195.84</v>
      </c>
      <c r="AN402" s="1">
        <v>6097.92</v>
      </c>
      <c r="AO402" s="1">
        <v>0</v>
      </c>
      <c r="AP402" s="1">
        <v>6097.92</v>
      </c>
      <c r="AQ402" s="1">
        <v>0</v>
      </c>
      <c r="AR402" s="1">
        <v>0</v>
      </c>
      <c r="AS402" s="1">
        <v>0</v>
      </c>
      <c r="AT402" s="1">
        <v>0</v>
      </c>
      <c r="BA402" s="195"/>
      <c r="BB402" s="195"/>
      <c r="BC402" s="195"/>
      <c r="BD402" s="195"/>
      <c r="BE402" s="195"/>
      <c r="BF402" s="195"/>
      <c r="BG402" s="195"/>
      <c r="BH402" s="195"/>
      <c r="BI402" s="195"/>
    </row>
    <row r="403" spans="1:61" x14ac:dyDescent="0.25">
      <c r="A403" t="s">
        <v>343</v>
      </c>
      <c r="B403" t="s">
        <v>344</v>
      </c>
      <c r="C403" t="s">
        <v>910</v>
      </c>
      <c r="D403" t="s">
        <v>90</v>
      </c>
      <c r="E403" t="s">
        <v>911</v>
      </c>
      <c r="F403" t="s">
        <v>912</v>
      </c>
      <c r="G403" t="s">
        <v>913</v>
      </c>
      <c r="H403" t="s">
        <v>914</v>
      </c>
      <c r="I403" t="s">
        <v>915</v>
      </c>
      <c r="J403" t="s">
        <v>103</v>
      </c>
      <c r="K403" t="s">
        <v>931</v>
      </c>
      <c r="L403" t="s">
        <v>97</v>
      </c>
      <c r="M403" t="s">
        <v>944</v>
      </c>
      <c r="N403" t="s">
        <v>100</v>
      </c>
      <c r="O403" t="s">
        <v>946</v>
      </c>
      <c r="P403" t="s">
        <v>947</v>
      </c>
      <c r="AG403" t="s">
        <v>729</v>
      </c>
      <c r="AH403" t="s">
        <v>730</v>
      </c>
      <c r="AI403" t="s">
        <v>353</v>
      </c>
      <c r="AJ403" t="s">
        <v>946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10607.18</v>
      </c>
      <c r="AR403" s="1">
        <v>0</v>
      </c>
      <c r="AS403" s="1">
        <v>10607.18</v>
      </c>
      <c r="AT403" s="1">
        <v>0</v>
      </c>
      <c r="BA403" s="195"/>
      <c r="BB403" s="195"/>
      <c r="BC403" s="195"/>
      <c r="BD403" s="195"/>
      <c r="BE403" s="195"/>
      <c r="BF403" s="195"/>
      <c r="BG403" s="195"/>
      <c r="BH403" s="195"/>
      <c r="BI403" s="195"/>
    </row>
    <row r="404" spans="1:61" x14ac:dyDescent="0.25">
      <c r="A404" t="s">
        <v>343</v>
      </c>
      <c r="B404" t="s">
        <v>344</v>
      </c>
      <c r="C404" t="s">
        <v>910</v>
      </c>
      <c r="D404" t="s">
        <v>90</v>
      </c>
      <c r="E404" t="s">
        <v>911</v>
      </c>
      <c r="F404" t="s">
        <v>912</v>
      </c>
      <c r="G404" t="s">
        <v>913</v>
      </c>
      <c r="H404" t="s">
        <v>914</v>
      </c>
      <c r="I404" t="s">
        <v>915</v>
      </c>
      <c r="J404" t="s">
        <v>103</v>
      </c>
      <c r="K404" t="s">
        <v>931</v>
      </c>
      <c r="L404" t="s">
        <v>97</v>
      </c>
      <c r="M404" t="s">
        <v>944</v>
      </c>
      <c r="N404" t="s">
        <v>100</v>
      </c>
      <c r="O404" t="s">
        <v>946</v>
      </c>
      <c r="P404" t="s">
        <v>947</v>
      </c>
      <c r="AG404" t="s">
        <v>731</v>
      </c>
      <c r="AH404" t="s">
        <v>732</v>
      </c>
      <c r="AI404" t="s">
        <v>353</v>
      </c>
      <c r="AJ404" t="s">
        <v>946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22824.12</v>
      </c>
      <c r="AR404" s="1">
        <v>0</v>
      </c>
      <c r="AS404" s="1">
        <v>22824.12</v>
      </c>
      <c r="AT404" s="1">
        <v>0</v>
      </c>
      <c r="BA404" s="195"/>
      <c r="BB404" s="195"/>
      <c r="BC404" s="195"/>
      <c r="BD404" s="195"/>
      <c r="BE404" s="195"/>
      <c r="BF404" s="195"/>
      <c r="BG404" s="195"/>
      <c r="BH404" s="195"/>
      <c r="BI404" s="195"/>
    </row>
    <row r="405" spans="1:61" x14ac:dyDescent="0.25">
      <c r="A405" t="s">
        <v>343</v>
      </c>
      <c r="B405" t="s">
        <v>344</v>
      </c>
      <c r="C405" t="s">
        <v>910</v>
      </c>
      <c r="D405" t="s">
        <v>90</v>
      </c>
      <c r="E405" t="s">
        <v>911</v>
      </c>
      <c r="F405" t="s">
        <v>912</v>
      </c>
      <c r="G405" t="s">
        <v>913</v>
      </c>
      <c r="H405" t="s">
        <v>914</v>
      </c>
      <c r="I405" t="s">
        <v>915</v>
      </c>
      <c r="J405" t="s">
        <v>103</v>
      </c>
      <c r="K405" t="s">
        <v>931</v>
      </c>
      <c r="L405" t="s">
        <v>97</v>
      </c>
      <c r="M405" t="s">
        <v>944</v>
      </c>
      <c r="N405" t="s">
        <v>100</v>
      </c>
      <c r="O405" t="s">
        <v>948</v>
      </c>
      <c r="P405" t="s">
        <v>949</v>
      </c>
      <c r="AG405" t="s">
        <v>725</v>
      </c>
      <c r="AH405" t="s">
        <v>726</v>
      </c>
      <c r="AI405" t="s">
        <v>353</v>
      </c>
      <c r="AJ405" t="s">
        <v>948</v>
      </c>
      <c r="AK405" s="1">
        <v>782980</v>
      </c>
      <c r="AL405" s="1">
        <v>0</v>
      </c>
      <c r="AM405" s="1">
        <v>782980</v>
      </c>
      <c r="AN405" s="1">
        <v>391490</v>
      </c>
      <c r="AO405" s="1">
        <v>0</v>
      </c>
      <c r="AP405" s="1">
        <v>391490</v>
      </c>
      <c r="AQ405" s="1">
        <v>413440.62</v>
      </c>
      <c r="AR405" s="1">
        <v>0</v>
      </c>
      <c r="AS405" s="1">
        <v>413440.62</v>
      </c>
      <c r="AT405" s="1">
        <v>0</v>
      </c>
      <c r="BA405" s="195"/>
      <c r="BB405" s="195"/>
      <c r="BC405" s="195"/>
      <c r="BD405" s="195"/>
      <c r="BE405" s="195"/>
      <c r="BF405" s="195"/>
      <c r="BG405" s="195"/>
      <c r="BH405" s="195"/>
      <c r="BI405" s="195"/>
    </row>
    <row r="406" spans="1:61" x14ac:dyDescent="0.25">
      <c r="A406" t="s">
        <v>343</v>
      </c>
      <c r="B406" t="s">
        <v>344</v>
      </c>
      <c r="C406" t="s">
        <v>910</v>
      </c>
      <c r="D406" t="s">
        <v>90</v>
      </c>
      <c r="E406" t="s">
        <v>911</v>
      </c>
      <c r="F406" t="s">
        <v>912</v>
      </c>
      <c r="G406" t="s">
        <v>913</v>
      </c>
      <c r="H406" t="s">
        <v>914</v>
      </c>
      <c r="I406" t="s">
        <v>915</v>
      </c>
      <c r="J406" t="s">
        <v>103</v>
      </c>
      <c r="K406" t="s">
        <v>931</v>
      </c>
      <c r="L406" t="s">
        <v>97</v>
      </c>
      <c r="M406" t="s">
        <v>950</v>
      </c>
      <c r="N406" t="s">
        <v>102</v>
      </c>
      <c r="AG406" t="s">
        <v>704</v>
      </c>
      <c r="AH406" t="s">
        <v>705</v>
      </c>
      <c r="AI406" t="s">
        <v>353</v>
      </c>
      <c r="AJ406" t="s">
        <v>950</v>
      </c>
      <c r="AK406" s="1">
        <v>8965.8799999999992</v>
      </c>
      <c r="AL406" s="1">
        <v>0</v>
      </c>
      <c r="AM406" s="1">
        <v>8965.8799999999992</v>
      </c>
      <c r="AN406" s="1">
        <v>4482.9399999999996</v>
      </c>
      <c r="AO406" s="1">
        <v>0</v>
      </c>
      <c r="AP406" s="1">
        <v>4482.9399999999996</v>
      </c>
      <c r="AQ406" s="1">
        <v>1355.08</v>
      </c>
      <c r="AR406" s="1">
        <v>0</v>
      </c>
      <c r="AS406" s="1">
        <v>1355.08</v>
      </c>
      <c r="AT406" s="1">
        <v>0</v>
      </c>
      <c r="BA406" s="195"/>
      <c r="BB406" s="195"/>
      <c r="BC406" s="195"/>
      <c r="BD406" s="195"/>
      <c r="BE406" s="195"/>
      <c r="BF406" s="195"/>
      <c r="BG406" s="195"/>
      <c r="BH406" s="195"/>
      <c r="BI406" s="195"/>
    </row>
    <row r="407" spans="1:61" x14ac:dyDescent="0.25">
      <c r="A407" t="s">
        <v>343</v>
      </c>
      <c r="B407" t="s">
        <v>344</v>
      </c>
      <c r="C407" t="s">
        <v>910</v>
      </c>
      <c r="D407" t="s">
        <v>90</v>
      </c>
      <c r="E407" t="s">
        <v>911</v>
      </c>
      <c r="F407" t="s">
        <v>912</v>
      </c>
      <c r="G407" t="s">
        <v>913</v>
      </c>
      <c r="H407" t="s">
        <v>914</v>
      </c>
      <c r="I407" t="s">
        <v>915</v>
      </c>
      <c r="J407" t="s">
        <v>103</v>
      </c>
      <c r="K407" t="s">
        <v>931</v>
      </c>
      <c r="L407" t="s">
        <v>97</v>
      </c>
      <c r="M407" t="s">
        <v>950</v>
      </c>
      <c r="N407" t="s">
        <v>102</v>
      </c>
      <c r="AG407" t="s">
        <v>706</v>
      </c>
      <c r="AH407" t="s">
        <v>705</v>
      </c>
      <c r="AI407" t="s">
        <v>353</v>
      </c>
      <c r="AJ407" t="s">
        <v>950</v>
      </c>
      <c r="AK407" s="1">
        <v>17781.04</v>
      </c>
      <c r="AL407" s="1">
        <v>0</v>
      </c>
      <c r="AM407" s="1">
        <v>17781.04</v>
      </c>
      <c r="AN407" s="1">
        <v>8890.52</v>
      </c>
      <c r="AO407" s="1">
        <v>0</v>
      </c>
      <c r="AP407" s="1">
        <v>8890.52</v>
      </c>
      <c r="AQ407" s="1">
        <v>9932.77</v>
      </c>
      <c r="AR407" s="1">
        <v>0</v>
      </c>
      <c r="AS407" s="1">
        <v>9932.77</v>
      </c>
      <c r="AT407" s="1">
        <v>0</v>
      </c>
      <c r="BA407" s="195"/>
      <c r="BB407" s="195"/>
      <c r="BC407" s="195"/>
      <c r="BD407" s="195"/>
      <c r="BE407" s="195"/>
      <c r="BF407" s="195"/>
      <c r="BG407" s="195"/>
      <c r="BH407" s="195"/>
      <c r="BI407" s="195"/>
    </row>
    <row r="408" spans="1:61" x14ac:dyDescent="0.25">
      <c r="A408" t="s">
        <v>343</v>
      </c>
      <c r="B408" t="s">
        <v>344</v>
      </c>
      <c r="C408" t="s">
        <v>910</v>
      </c>
      <c r="D408" t="s">
        <v>90</v>
      </c>
      <c r="E408" t="s">
        <v>911</v>
      </c>
      <c r="F408" t="s">
        <v>912</v>
      </c>
      <c r="G408" t="s">
        <v>913</v>
      </c>
      <c r="H408" t="s">
        <v>914</v>
      </c>
      <c r="I408" t="s">
        <v>951</v>
      </c>
      <c r="J408" t="s">
        <v>952</v>
      </c>
      <c r="K408" t="s">
        <v>953</v>
      </c>
      <c r="L408" t="s">
        <v>105</v>
      </c>
      <c r="M408" t="s">
        <v>954</v>
      </c>
      <c r="N408" t="s">
        <v>955</v>
      </c>
      <c r="AG408" t="s">
        <v>797</v>
      </c>
      <c r="AH408" t="s">
        <v>798</v>
      </c>
      <c r="AI408" t="s">
        <v>353</v>
      </c>
      <c r="AJ408" t="s">
        <v>954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950</v>
      </c>
      <c r="AR408" s="1">
        <v>0</v>
      </c>
      <c r="AS408" s="1">
        <v>950</v>
      </c>
      <c r="AT408" s="1">
        <v>0</v>
      </c>
      <c r="BA408" s="195"/>
      <c r="BB408" s="195"/>
      <c r="BC408" s="195"/>
      <c r="BD408" s="195"/>
      <c r="BE408" s="195"/>
      <c r="BF408" s="195"/>
      <c r="BG408" s="195"/>
      <c r="BH408" s="195"/>
      <c r="BI408" s="195"/>
    </row>
    <row r="409" spans="1:61" x14ac:dyDescent="0.25">
      <c r="A409" t="s">
        <v>343</v>
      </c>
      <c r="B409" t="s">
        <v>344</v>
      </c>
      <c r="C409" t="s">
        <v>910</v>
      </c>
      <c r="D409" t="s">
        <v>90</v>
      </c>
      <c r="E409" t="s">
        <v>911</v>
      </c>
      <c r="F409" t="s">
        <v>912</v>
      </c>
      <c r="G409" t="s">
        <v>913</v>
      </c>
      <c r="H409" t="s">
        <v>914</v>
      </c>
      <c r="I409" t="s">
        <v>951</v>
      </c>
      <c r="J409" t="s">
        <v>952</v>
      </c>
      <c r="K409" t="s">
        <v>953</v>
      </c>
      <c r="L409" t="s">
        <v>105</v>
      </c>
      <c r="M409" t="s">
        <v>954</v>
      </c>
      <c r="N409" t="s">
        <v>955</v>
      </c>
      <c r="AG409" t="s">
        <v>803</v>
      </c>
      <c r="AH409" t="s">
        <v>804</v>
      </c>
      <c r="AI409" t="s">
        <v>353</v>
      </c>
      <c r="AJ409" t="s">
        <v>954</v>
      </c>
      <c r="AK409" s="1">
        <v>0.16</v>
      </c>
      <c r="AL409" s="1">
        <v>0</v>
      </c>
      <c r="AM409" s="1">
        <v>0.16</v>
      </c>
      <c r="AN409" s="1">
        <v>0.08</v>
      </c>
      <c r="AO409" s="1">
        <v>0</v>
      </c>
      <c r="AP409" s="1">
        <v>0.08</v>
      </c>
      <c r="AQ409" s="1">
        <v>0</v>
      </c>
      <c r="AR409" s="1">
        <v>0</v>
      </c>
      <c r="AS409" s="1">
        <v>0</v>
      </c>
      <c r="AT409" s="1">
        <v>0</v>
      </c>
      <c r="BA409" s="195"/>
      <c r="BB409" s="195"/>
      <c r="BC409" s="195"/>
      <c r="BD409" s="195"/>
      <c r="BE409" s="195"/>
      <c r="BF409" s="195"/>
      <c r="BG409" s="195"/>
      <c r="BH409" s="195"/>
      <c r="BI409" s="195"/>
    </row>
    <row r="410" spans="1:61" x14ac:dyDescent="0.25">
      <c r="A410" t="s">
        <v>343</v>
      </c>
      <c r="B410" t="s">
        <v>344</v>
      </c>
      <c r="C410" t="s">
        <v>910</v>
      </c>
      <c r="D410" t="s">
        <v>90</v>
      </c>
      <c r="E410" t="s">
        <v>911</v>
      </c>
      <c r="F410" t="s">
        <v>912</v>
      </c>
      <c r="G410" t="s">
        <v>913</v>
      </c>
      <c r="H410" t="s">
        <v>914</v>
      </c>
      <c r="I410" t="s">
        <v>951</v>
      </c>
      <c r="J410" t="s">
        <v>952</v>
      </c>
      <c r="K410" t="s">
        <v>953</v>
      </c>
      <c r="L410" t="s">
        <v>105</v>
      </c>
      <c r="M410" t="s">
        <v>956</v>
      </c>
      <c r="N410" t="s">
        <v>957</v>
      </c>
      <c r="AG410" t="s">
        <v>799</v>
      </c>
      <c r="AH410" t="s">
        <v>800</v>
      </c>
      <c r="AI410" t="s">
        <v>353</v>
      </c>
      <c r="AJ410" t="s">
        <v>956</v>
      </c>
      <c r="AK410" s="1">
        <v>8659.5</v>
      </c>
      <c r="AL410" s="1">
        <v>0</v>
      </c>
      <c r="AM410" s="1">
        <v>8659.5</v>
      </c>
      <c r="AN410" s="1">
        <v>4329.75</v>
      </c>
      <c r="AO410" s="1">
        <v>0</v>
      </c>
      <c r="AP410" s="1">
        <v>4329.75</v>
      </c>
      <c r="AQ410" s="1">
        <v>2480.04</v>
      </c>
      <c r="AR410" s="1">
        <v>0</v>
      </c>
      <c r="AS410" s="1">
        <v>2480.04</v>
      </c>
      <c r="AT410" s="1">
        <v>0</v>
      </c>
      <c r="BA410" s="195"/>
      <c r="BB410" s="195"/>
      <c r="BC410" s="195"/>
      <c r="BD410" s="195"/>
      <c r="BE410" s="195"/>
      <c r="BF410" s="195"/>
      <c r="BG410" s="195"/>
      <c r="BH410" s="195"/>
      <c r="BI410" s="195"/>
    </row>
    <row r="411" spans="1:61" x14ac:dyDescent="0.25">
      <c r="A411" t="s">
        <v>343</v>
      </c>
      <c r="B411" t="s">
        <v>344</v>
      </c>
      <c r="C411" t="s">
        <v>910</v>
      </c>
      <c r="D411" t="s">
        <v>90</v>
      </c>
      <c r="E411" t="s">
        <v>911</v>
      </c>
      <c r="F411" t="s">
        <v>912</v>
      </c>
      <c r="G411" t="s">
        <v>913</v>
      </c>
      <c r="H411" t="s">
        <v>914</v>
      </c>
      <c r="I411" t="s">
        <v>951</v>
      </c>
      <c r="J411" t="s">
        <v>952</v>
      </c>
      <c r="K411" t="s">
        <v>953</v>
      </c>
      <c r="L411" t="s">
        <v>105</v>
      </c>
      <c r="M411" t="s">
        <v>958</v>
      </c>
      <c r="N411" t="s">
        <v>959</v>
      </c>
      <c r="AG411" t="s">
        <v>801</v>
      </c>
      <c r="AH411" t="s">
        <v>802</v>
      </c>
      <c r="AI411" t="s">
        <v>353</v>
      </c>
      <c r="AJ411" t="s">
        <v>958</v>
      </c>
      <c r="AK411" s="1">
        <v>81421.399999999994</v>
      </c>
      <c r="AL411" s="1">
        <v>0</v>
      </c>
      <c r="AM411" s="1">
        <v>81421.399999999994</v>
      </c>
      <c r="AN411" s="1">
        <v>40710.699999999997</v>
      </c>
      <c r="AO411" s="1">
        <v>0</v>
      </c>
      <c r="AP411" s="1">
        <v>40710.699999999997</v>
      </c>
      <c r="AQ411" s="1">
        <v>27022.240000000002</v>
      </c>
      <c r="AR411" s="1">
        <v>0</v>
      </c>
      <c r="AS411" s="1">
        <v>27022.240000000002</v>
      </c>
      <c r="AT411" s="1">
        <v>0</v>
      </c>
      <c r="BA411" s="195"/>
      <c r="BB411" s="195"/>
      <c r="BC411" s="195"/>
      <c r="BD411" s="195"/>
      <c r="BE411" s="195"/>
      <c r="BF411" s="195"/>
      <c r="BG411" s="195"/>
      <c r="BH411" s="195"/>
      <c r="BI411" s="195"/>
    </row>
    <row r="412" spans="1:61" x14ac:dyDescent="0.25">
      <c r="A412" t="s">
        <v>343</v>
      </c>
      <c r="B412" t="s">
        <v>344</v>
      </c>
      <c r="C412" t="s">
        <v>910</v>
      </c>
      <c r="D412" t="s">
        <v>90</v>
      </c>
      <c r="E412" t="s">
        <v>911</v>
      </c>
      <c r="F412" t="s">
        <v>912</v>
      </c>
      <c r="G412" t="s">
        <v>913</v>
      </c>
      <c r="H412" t="s">
        <v>914</v>
      </c>
      <c r="I412" t="s">
        <v>951</v>
      </c>
      <c r="J412" t="s">
        <v>952</v>
      </c>
      <c r="K412" t="s">
        <v>960</v>
      </c>
      <c r="L412" t="s">
        <v>107</v>
      </c>
      <c r="M412" t="s">
        <v>961</v>
      </c>
      <c r="N412" t="s">
        <v>962</v>
      </c>
      <c r="AG412" t="s">
        <v>709</v>
      </c>
      <c r="AH412" t="s">
        <v>710</v>
      </c>
      <c r="AI412" t="s">
        <v>353</v>
      </c>
      <c r="AJ412" t="s">
        <v>961</v>
      </c>
      <c r="AK412" s="1">
        <v>0.26</v>
      </c>
      <c r="AL412" s="1">
        <v>0</v>
      </c>
      <c r="AM412" s="1">
        <v>0.26</v>
      </c>
      <c r="AN412" s="1">
        <v>0.13</v>
      </c>
      <c r="AO412" s="1">
        <v>0</v>
      </c>
      <c r="AP412" s="1">
        <v>0.13</v>
      </c>
      <c r="AQ412" s="1">
        <v>0</v>
      </c>
      <c r="AR412" s="1">
        <v>0</v>
      </c>
      <c r="AS412" s="1">
        <v>0</v>
      </c>
      <c r="AT412" s="1">
        <v>0</v>
      </c>
      <c r="BA412" s="195"/>
      <c r="BB412" s="195"/>
      <c r="BC412" s="195"/>
      <c r="BD412" s="195"/>
      <c r="BE412" s="195"/>
      <c r="BF412" s="195"/>
      <c r="BG412" s="195"/>
      <c r="BH412" s="195"/>
      <c r="BI412" s="195"/>
    </row>
    <row r="413" spans="1:61" x14ac:dyDescent="0.25">
      <c r="A413" t="s">
        <v>343</v>
      </c>
      <c r="B413" t="s">
        <v>344</v>
      </c>
      <c r="C413" t="s">
        <v>910</v>
      </c>
      <c r="D413" t="s">
        <v>90</v>
      </c>
      <c r="E413" t="s">
        <v>911</v>
      </c>
      <c r="F413" t="s">
        <v>912</v>
      </c>
      <c r="G413" t="s">
        <v>913</v>
      </c>
      <c r="H413" t="s">
        <v>914</v>
      </c>
      <c r="I413" t="s">
        <v>951</v>
      </c>
      <c r="J413" t="s">
        <v>952</v>
      </c>
      <c r="K413" t="s">
        <v>960</v>
      </c>
      <c r="L413" t="s">
        <v>107</v>
      </c>
      <c r="M413" t="s">
        <v>963</v>
      </c>
      <c r="N413" t="s">
        <v>964</v>
      </c>
      <c r="AG413" t="s">
        <v>707</v>
      </c>
      <c r="AH413" t="s">
        <v>708</v>
      </c>
      <c r="AI413" t="s">
        <v>353</v>
      </c>
      <c r="AJ413" t="s">
        <v>963</v>
      </c>
      <c r="AK413" s="1">
        <v>2016.8</v>
      </c>
      <c r="AL413" s="1">
        <v>0</v>
      </c>
      <c r="AM413" s="1">
        <v>2016.8</v>
      </c>
      <c r="AN413" s="1">
        <v>1008.4</v>
      </c>
      <c r="AO413" s="1">
        <v>0</v>
      </c>
      <c r="AP413" s="1">
        <v>1008.4</v>
      </c>
      <c r="AQ413" s="1">
        <v>3229.57</v>
      </c>
      <c r="AR413" s="1">
        <v>0</v>
      </c>
      <c r="AS413" s="1">
        <v>3229.57</v>
      </c>
      <c r="AT413" s="1">
        <v>0</v>
      </c>
      <c r="BA413" s="195"/>
      <c r="BB413" s="195"/>
      <c r="BC413" s="195"/>
      <c r="BD413" s="195"/>
      <c r="BE413" s="195"/>
      <c r="BF413" s="195"/>
      <c r="BG413" s="195"/>
      <c r="BH413" s="195"/>
      <c r="BI413" s="195"/>
    </row>
    <row r="414" spans="1:61" x14ac:dyDescent="0.25">
      <c r="A414" t="s">
        <v>343</v>
      </c>
      <c r="B414" t="s">
        <v>344</v>
      </c>
      <c r="C414" t="s">
        <v>910</v>
      </c>
      <c r="D414" t="s">
        <v>90</v>
      </c>
      <c r="E414" t="s">
        <v>911</v>
      </c>
      <c r="F414" t="s">
        <v>912</v>
      </c>
      <c r="G414" t="s">
        <v>965</v>
      </c>
      <c r="H414" t="s">
        <v>966</v>
      </c>
      <c r="I414" t="s">
        <v>967</v>
      </c>
      <c r="J414" t="s">
        <v>108</v>
      </c>
      <c r="K414" t="s">
        <v>968</v>
      </c>
      <c r="L414" t="s">
        <v>969</v>
      </c>
      <c r="AG414" t="s">
        <v>805</v>
      </c>
      <c r="AH414" t="s">
        <v>806</v>
      </c>
      <c r="AI414" t="s">
        <v>353</v>
      </c>
      <c r="AJ414" t="s">
        <v>968</v>
      </c>
      <c r="AK414" s="1">
        <v>95785.84</v>
      </c>
      <c r="AL414" s="1">
        <v>0</v>
      </c>
      <c r="AM414" s="1">
        <v>95785.84</v>
      </c>
      <c r="AN414" s="1">
        <v>47892.92</v>
      </c>
      <c r="AO414" s="1">
        <v>0</v>
      </c>
      <c r="AP414" s="1">
        <v>47892.92</v>
      </c>
      <c r="AQ414" s="1">
        <v>9.9499999999999993</v>
      </c>
      <c r="AR414" s="1">
        <v>0</v>
      </c>
      <c r="AS414" s="1">
        <v>9.9499999999999993</v>
      </c>
      <c r="AT414" s="1">
        <v>0</v>
      </c>
      <c r="BA414" s="195"/>
      <c r="BB414" s="195"/>
      <c r="BC414" s="195"/>
      <c r="BD414" s="195"/>
      <c r="BE414" s="195"/>
      <c r="BF414" s="195"/>
      <c r="BG414" s="195"/>
      <c r="BH414" s="195"/>
      <c r="BI414" s="195"/>
    </row>
    <row r="415" spans="1:61" x14ac:dyDescent="0.25">
      <c r="A415" t="s">
        <v>343</v>
      </c>
      <c r="B415" t="s">
        <v>344</v>
      </c>
      <c r="C415" t="s">
        <v>910</v>
      </c>
      <c r="D415" t="s">
        <v>90</v>
      </c>
      <c r="E415" t="s">
        <v>911</v>
      </c>
      <c r="F415" t="s">
        <v>912</v>
      </c>
      <c r="G415" t="s">
        <v>965</v>
      </c>
      <c r="H415" t="s">
        <v>966</v>
      </c>
      <c r="I415" t="s">
        <v>967</v>
      </c>
      <c r="J415" t="s">
        <v>108</v>
      </c>
      <c r="K415" t="s">
        <v>970</v>
      </c>
      <c r="L415" t="s">
        <v>971</v>
      </c>
      <c r="AG415" t="s">
        <v>807</v>
      </c>
      <c r="AH415" t="s">
        <v>808</v>
      </c>
      <c r="AI415" t="s">
        <v>353</v>
      </c>
      <c r="AJ415" t="s">
        <v>970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0.84</v>
      </c>
      <c r="AR415" s="1">
        <v>0</v>
      </c>
      <c r="AS415" s="1">
        <v>0.84</v>
      </c>
      <c r="AT415" s="1">
        <v>0</v>
      </c>
      <c r="BA415" s="195"/>
      <c r="BB415" s="195"/>
      <c r="BC415" s="195"/>
      <c r="BD415" s="195"/>
      <c r="BE415" s="195"/>
      <c r="BF415" s="195"/>
      <c r="BG415" s="195"/>
      <c r="BH415" s="195"/>
      <c r="BI415" s="195"/>
    </row>
    <row r="416" spans="1:61" x14ac:dyDescent="0.25">
      <c r="A416" t="s">
        <v>343</v>
      </c>
      <c r="B416" t="s">
        <v>344</v>
      </c>
      <c r="C416" t="s">
        <v>910</v>
      </c>
      <c r="D416" t="s">
        <v>90</v>
      </c>
      <c r="E416" t="s">
        <v>911</v>
      </c>
      <c r="F416" t="s">
        <v>912</v>
      </c>
      <c r="G416" t="s">
        <v>965</v>
      </c>
      <c r="H416" t="s">
        <v>966</v>
      </c>
      <c r="I416" t="s">
        <v>972</v>
      </c>
      <c r="J416" t="s">
        <v>973</v>
      </c>
      <c r="K416" t="s">
        <v>974</v>
      </c>
      <c r="L416" t="s">
        <v>975</v>
      </c>
      <c r="AG416" t="s">
        <v>711</v>
      </c>
      <c r="AH416" t="s">
        <v>712</v>
      </c>
      <c r="AI416" t="s">
        <v>353</v>
      </c>
      <c r="AJ416" t="s">
        <v>974</v>
      </c>
      <c r="AK416" s="1">
        <v>360</v>
      </c>
      <c r="AL416" s="1">
        <v>0</v>
      </c>
      <c r="AM416" s="1">
        <v>360</v>
      </c>
      <c r="AN416" s="1">
        <v>180</v>
      </c>
      <c r="AO416" s="1">
        <v>0</v>
      </c>
      <c r="AP416" s="1">
        <v>180</v>
      </c>
      <c r="AQ416" s="1">
        <v>90</v>
      </c>
      <c r="AR416" s="1">
        <v>0</v>
      </c>
      <c r="AS416" s="1">
        <v>90</v>
      </c>
      <c r="AT416" s="1">
        <v>0</v>
      </c>
      <c r="BA416" s="195"/>
      <c r="BB416" s="195"/>
      <c r="BC416" s="195"/>
      <c r="BD416" s="195"/>
      <c r="BE416" s="195"/>
      <c r="BF416" s="195"/>
      <c r="BG416" s="195"/>
      <c r="BH416" s="195"/>
      <c r="BI416" s="195"/>
    </row>
    <row r="417" spans="1:61" x14ac:dyDescent="0.25">
      <c r="A417" t="s">
        <v>343</v>
      </c>
      <c r="B417" t="s">
        <v>344</v>
      </c>
      <c r="C417" t="s">
        <v>910</v>
      </c>
      <c r="D417" t="s">
        <v>90</v>
      </c>
      <c r="E417" t="s">
        <v>911</v>
      </c>
      <c r="F417" t="s">
        <v>912</v>
      </c>
      <c r="G417" t="s">
        <v>965</v>
      </c>
      <c r="H417" t="s">
        <v>966</v>
      </c>
      <c r="I417" t="s">
        <v>972</v>
      </c>
      <c r="J417" t="s">
        <v>973</v>
      </c>
      <c r="K417" t="s">
        <v>974</v>
      </c>
      <c r="L417" t="s">
        <v>975</v>
      </c>
      <c r="AG417" t="s">
        <v>713</v>
      </c>
      <c r="AH417" t="s">
        <v>714</v>
      </c>
      <c r="AI417" t="s">
        <v>353</v>
      </c>
      <c r="AJ417" t="s">
        <v>974</v>
      </c>
      <c r="AK417" s="1">
        <v>9.76</v>
      </c>
      <c r="AL417" s="1">
        <v>0</v>
      </c>
      <c r="AM417" s="1">
        <v>9.76</v>
      </c>
      <c r="AN417" s="1">
        <v>4.88</v>
      </c>
      <c r="AO417" s="1">
        <v>0</v>
      </c>
      <c r="AP417" s="1">
        <v>4.88</v>
      </c>
      <c r="AQ417" s="1">
        <v>4816.53</v>
      </c>
      <c r="AR417" s="1">
        <v>0</v>
      </c>
      <c r="AS417" s="1">
        <v>4816.53</v>
      </c>
      <c r="AT417" s="1">
        <v>0</v>
      </c>
      <c r="BA417" s="195"/>
      <c r="BB417" s="195"/>
      <c r="BC417" s="195"/>
      <c r="BD417" s="195"/>
      <c r="BE417" s="195"/>
      <c r="BF417" s="195"/>
      <c r="BG417" s="195"/>
      <c r="BH417" s="195"/>
      <c r="BI417" s="195"/>
    </row>
    <row r="418" spans="1:61" x14ac:dyDescent="0.25">
      <c r="A418" t="s">
        <v>343</v>
      </c>
      <c r="B418" t="s">
        <v>344</v>
      </c>
      <c r="C418" t="s">
        <v>910</v>
      </c>
      <c r="D418" t="s">
        <v>90</v>
      </c>
      <c r="E418" t="s">
        <v>911</v>
      </c>
      <c r="F418" t="s">
        <v>912</v>
      </c>
      <c r="G418" t="s">
        <v>965</v>
      </c>
      <c r="H418" t="s">
        <v>966</v>
      </c>
      <c r="I418" t="s">
        <v>972</v>
      </c>
      <c r="J418" t="s">
        <v>973</v>
      </c>
      <c r="K418" t="s">
        <v>976</v>
      </c>
      <c r="L418" t="s">
        <v>977</v>
      </c>
      <c r="AG418" t="s">
        <v>715</v>
      </c>
      <c r="AH418" t="s">
        <v>716</v>
      </c>
      <c r="AI418" t="s">
        <v>353</v>
      </c>
      <c r="AJ418" t="s">
        <v>976</v>
      </c>
      <c r="AK418" s="1">
        <v>22238.82</v>
      </c>
      <c r="AL418" s="1">
        <v>0</v>
      </c>
      <c r="AM418" s="1">
        <v>22238.82</v>
      </c>
      <c r="AN418" s="1">
        <v>11119.41</v>
      </c>
      <c r="AO418" s="1">
        <v>0</v>
      </c>
      <c r="AP418" s="1">
        <v>11119.41</v>
      </c>
      <c r="AQ418" s="1">
        <v>0</v>
      </c>
      <c r="AR418" s="1">
        <v>0</v>
      </c>
      <c r="AS418" s="1">
        <v>0</v>
      </c>
      <c r="AT418" s="1">
        <v>0</v>
      </c>
      <c r="BA418" s="195"/>
      <c r="BB418" s="195"/>
      <c r="BC418" s="195"/>
      <c r="BD418" s="195"/>
      <c r="BE418" s="195"/>
      <c r="BF418" s="195"/>
      <c r="BG418" s="195"/>
      <c r="BH418" s="195"/>
      <c r="BI418" s="195"/>
    </row>
    <row r="419" spans="1:61" x14ac:dyDescent="0.25">
      <c r="A419" t="s">
        <v>343</v>
      </c>
      <c r="B419" t="s">
        <v>344</v>
      </c>
      <c r="C419" t="s">
        <v>910</v>
      </c>
      <c r="D419" t="s">
        <v>90</v>
      </c>
      <c r="E419" t="s">
        <v>911</v>
      </c>
      <c r="F419" t="s">
        <v>912</v>
      </c>
      <c r="G419" t="s">
        <v>978</v>
      </c>
      <c r="H419" t="s">
        <v>979</v>
      </c>
      <c r="AG419" t="s">
        <v>733</v>
      </c>
      <c r="AH419" t="s">
        <v>734</v>
      </c>
      <c r="AI419" t="s">
        <v>353</v>
      </c>
      <c r="AJ419" t="s">
        <v>978</v>
      </c>
      <c r="AK419" s="1">
        <v>481680</v>
      </c>
      <c r="AL419" s="1">
        <v>0</v>
      </c>
      <c r="AM419" s="1">
        <v>481680</v>
      </c>
      <c r="AN419" s="1">
        <v>240840</v>
      </c>
      <c r="AO419" s="1">
        <v>0</v>
      </c>
      <c r="AP419" s="1">
        <v>240840</v>
      </c>
      <c r="AQ419" s="1">
        <v>231859</v>
      </c>
      <c r="AR419" s="1">
        <v>0</v>
      </c>
      <c r="AS419" s="1">
        <v>231859</v>
      </c>
      <c r="AT419" s="1">
        <v>0</v>
      </c>
      <c r="BA419" s="195"/>
      <c r="BB419" s="195"/>
      <c r="BC419" s="195"/>
      <c r="BD419" s="195"/>
      <c r="BE419" s="195"/>
      <c r="BF419" s="195"/>
      <c r="BG419" s="195"/>
      <c r="BH419" s="195"/>
      <c r="BI419" s="195"/>
    </row>
    <row r="420" spans="1:61" x14ac:dyDescent="0.25">
      <c r="A420" t="s">
        <v>343</v>
      </c>
      <c r="B420" t="s">
        <v>344</v>
      </c>
      <c r="C420" t="s">
        <v>910</v>
      </c>
      <c r="D420" t="s">
        <v>90</v>
      </c>
      <c r="E420" t="s">
        <v>911</v>
      </c>
      <c r="F420" t="s">
        <v>912</v>
      </c>
      <c r="G420" t="s">
        <v>980</v>
      </c>
      <c r="H420" t="s">
        <v>981</v>
      </c>
      <c r="AG420" t="s">
        <v>735</v>
      </c>
      <c r="AH420" t="s">
        <v>736</v>
      </c>
      <c r="AI420" t="s">
        <v>353</v>
      </c>
      <c r="AJ420" t="s">
        <v>980</v>
      </c>
      <c r="AK420" s="1">
        <v>1097112</v>
      </c>
      <c r="AL420" s="1">
        <v>0</v>
      </c>
      <c r="AM420" s="1">
        <v>1097112</v>
      </c>
      <c r="AN420" s="1">
        <v>548556</v>
      </c>
      <c r="AO420" s="1">
        <v>0</v>
      </c>
      <c r="AP420" s="1">
        <v>548556</v>
      </c>
      <c r="AQ420" s="1">
        <v>530069</v>
      </c>
      <c r="AR420" s="1">
        <v>0</v>
      </c>
      <c r="AS420" s="1">
        <v>530069</v>
      </c>
      <c r="AT420" s="1">
        <v>0</v>
      </c>
      <c r="BA420" s="195"/>
      <c r="BB420" s="195"/>
      <c r="BC420" s="195"/>
      <c r="BD420" s="195"/>
      <c r="BE420" s="195"/>
      <c r="BF420" s="195"/>
      <c r="BG420" s="195"/>
      <c r="BH420" s="195"/>
      <c r="BI420" s="195"/>
    </row>
    <row r="421" spans="1:61" x14ac:dyDescent="0.25">
      <c r="A421" t="s">
        <v>343</v>
      </c>
      <c r="B421" t="s">
        <v>344</v>
      </c>
      <c r="C421" t="s">
        <v>982</v>
      </c>
      <c r="D421" t="s">
        <v>45</v>
      </c>
      <c r="E421" t="s">
        <v>983</v>
      </c>
      <c r="F421" t="s">
        <v>42</v>
      </c>
      <c r="G421" t="s">
        <v>984</v>
      </c>
      <c r="H421" t="s">
        <v>36</v>
      </c>
      <c r="I421" t="s">
        <v>985</v>
      </c>
      <c r="J421" t="s">
        <v>32</v>
      </c>
      <c r="K421" t="s">
        <v>986</v>
      </c>
      <c r="L421" t="s">
        <v>28</v>
      </c>
      <c r="M421" t="s">
        <v>987</v>
      </c>
      <c r="N421" t="s">
        <v>25</v>
      </c>
      <c r="O421" t="s">
        <v>988</v>
      </c>
      <c r="P421" t="s">
        <v>8</v>
      </c>
      <c r="Q421" t="s">
        <v>989</v>
      </c>
      <c r="R421" t="s">
        <v>4</v>
      </c>
      <c r="AG421" t="s">
        <v>783</v>
      </c>
      <c r="AH421" t="s">
        <v>784</v>
      </c>
      <c r="AI421" t="s">
        <v>353</v>
      </c>
      <c r="AJ421" t="s">
        <v>989</v>
      </c>
      <c r="AK421" s="1">
        <v>258236.36</v>
      </c>
      <c r="AL421" s="1">
        <v>0</v>
      </c>
      <c r="AM421" s="1">
        <v>258236.36</v>
      </c>
      <c r="AN421" s="1">
        <v>129118.18</v>
      </c>
      <c r="AO421" s="1">
        <v>0</v>
      </c>
      <c r="AP421" s="1">
        <v>129118.18</v>
      </c>
      <c r="AQ421" s="1">
        <v>211607.02</v>
      </c>
      <c r="AR421" s="1">
        <v>0</v>
      </c>
      <c r="AS421" s="1">
        <v>211607.02</v>
      </c>
      <c r="AT421" s="1">
        <v>0</v>
      </c>
      <c r="BA421" s="195"/>
      <c r="BB421" s="195"/>
      <c r="BC421" s="195"/>
      <c r="BD421" s="195"/>
      <c r="BE421" s="195"/>
      <c r="BF421" s="195"/>
      <c r="BG421" s="195"/>
      <c r="BH421" s="195"/>
      <c r="BI421" s="195"/>
    </row>
    <row r="422" spans="1:61" x14ac:dyDescent="0.25">
      <c r="A422" t="s">
        <v>343</v>
      </c>
      <c r="B422" t="s">
        <v>344</v>
      </c>
      <c r="C422" t="s">
        <v>982</v>
      </c>
      <c r="D422" t="s">
        <v>45</v>
      </c>
      <c r="E422" t="s">
        <v>983</v>
      </c>
      <c r="F422" t="s">
        <v>42</v>
      </c>
      <c r="G422" t="s">
        <v>984</v>
      </c>
      <c r="H422" t="s">
        <v>36</v>
      </c>
      <c r="I422" t="s">
        <v>985</v>
      </c>
      <c r="J422" t="s">
        <v>32</v>
      </c>
      <c r="K422" t="s">
        <v>986</v>
      </c>
      <c r="L422" t="s">
        <v>28</v>
      </c>
      <c r="M422" t="s">
        <v>987</v>
      </c>
      <c r="N422" t="s">
        <v>25</v>
      </c>
      <c r="O422" t="s">
        <v>988</v>
      </c>
      <c r="P422" t="s">
        <v>8</v>
      </c>
      <c r="Q422" t="s">
        <v>989</v>
      </c>
      <c r="R422" t="s">
        <v>4</v>
      </c>
      <c r="AG422" t="s">
        <v>785</v>
      </c>
      <c r="AH422" t="s">
        <v>786</v>
      </c>
      <c r="AI422" t="s">
        <v>353</v>
      </c>
      <c r="AJ422" t="s">
        <v>989</v>
      </c>
      <c r="AK422" s="1">
        <v>350727.7</v>
      </c>
      <c r="AL422" s="1">
        <v>0</v>
      </c>
      <c r="AM422" s="1">
        <v>350727.7</v>
      </c>
      <c r="AN422" s="1">
        <v>175363.85</v>
      </c>
      <c r="AO422" s="1">
        <v>0</v>
      </c>
      <c r="AP422" s="1">
        <v>175363.85</v>
      </c>
      <c r="AQ422" s="1">
        <v>304157.21000000002</v>
      </c>
      <c r="AR422" s="1">
        <v>0</v>
      </c>
      <c r="AS422" s="1">
        <v>304157.21000000002</v>
      </c>
      <c r="AT422" s="1">
        <v>0</v>
      </c>
      <c r="BA422" s="195"/>
      <c r="BB422" s="195"/>
      <c r="BC422" s="195"/>
      <c r="BD422" s="195"/>
      <c r="BE422" s="195"/>
      <c r="BF422" s="195"/>
      <c r="BG422" s="195"/>
      <c r="BH422" s="195"/>
      <c r="BI422" s="195"/>
    </row>
    <row r="423" spans="1:61" x14ac:dyDescent="0.25">
      <c r="A423" t="s">
        <v>343</v>
      </c>
      <c r="B423" t="s">
        <v>344</v>
      </c>
      <c r="C423" t="s">
        <v>982</v>
      </c>
      <c r="D423" t="s">
        <v>45</v>
      </c>
      <c r="E423" t="s">
        <v>983</v>
      </c>
      <c r="F423" t="s">
        <v>42</v>
      </c>
      <c r="G423" t="s">
        <v>984</v>
      </c>
      <c r="H423" t="s">
        <v>36</v>
      </c>
      <c r="I423" t="s">
        <v>985</v>
      </c>
      <c r="J423" t="s">
        <v>32</v>
      </c>
      <c r="K423" t="s">
        <v>986</v>
      </c>
      <c r="L423" t="s">
        <v>28</v>
      </c>
      <c r="M423" t="s">
        <v>987</v>
      </c>
      <c r="N423" t="s">
        <v>25</v>
      </c>
      <c r="O423" t="s">
        <v>988</v>
      </c>
      <c r="P423" t="s">
        <v>8</v>
      </c>
      <c r="Q423" t="s">
        <v>989</v>
      </c>
      <c r="R423" t="s">
        <v>4</v>
      </c>
      <c r="AG423" t="s">
        <v>787</v>
      </c>
      <c r="AH423" t="s">
        <v>788</v>
      </c>
      <c r="AI423" t="s">
        <v>353</v>
      </c>
      <c r="AJ423" t="s">
        <v>989</v>
      </c>
      <c r="AK423" s="1">
        <v>28800</v>
      </c>
      <c r="AL423" s="1">
        <v>0</v>
      </c>
      <c r="AM423" s="1">
        <v>28800</v>
      </c>
      <c r="AN423" s="1">
        <v>14400</v>
      </c>
      <c r="AO423" s="1">
        <v>0</v>
      </c>
      <c r="AP423" s="1">
        <v>14400</v>
      </c>
      <c r="AQ423" s="1">
        <v>0</v>
      </c>
      <c r="AR423" s="1">
        <v>0</v>
      </c>
      <c r="AS423" s="1">
        <v>0</v>
      </c>
      <c r="AT423" s="1">
        <v>0</v>
      </c>
      <c r="BA423" s="195"/>
      <c r="BB423" s="195"/>
      <c r="BC423" s="195"/>
      <c r="BD423" s="195"/>
      <c r="BE423" s="195"/>
      <c r="BF423" s="195"/>
      <c r="BG423" s="195"/>
      <c r="BH423" s="195"/>
      <c r="BI423" s="195"/>
    </row>
    <row r="424" spans="1:61" x14ac:dyDescent="0.25">
      <c r="A424" t="s">
        <v>343</v>
      </c>
      <c r="B424" t="s">
        <v>344</v>
      </c>
      <c r="C424" t="s">
        <v>982</v>
      </c>
      <c r="D424" t="s">
        <v>45</v>
      </c>
      <c r="E424" t="s">
        <v>983</v>
      </c>
      <c r="F424" t="s">
        <v>42</v>
      </c>
      <c r="G424" t="s">
        <v>984</v>
      </c>
      <c r="H424" t="s">
        <v>36</v>
      </c>
      <c r="I424" t="s">
        <v>985</v>
      </c>
      <c r="J424" t="s">
        <v>32</v>
      </c>
      <c r="K424" t="s">
        <v>986</v>
      </c>
      <c r="L424" t="s">
        <v>28</v>
      </c>
      <c r="M424" t="s">
        <v>987</v>
      </c>
      <c r="N424" t="s">
        <v>25</v>
      </c>
      <c r="O424" t="s">
        <v>988</v>
      </c>
      <c r="P424" t="s">
        <v>8</v>
      </c>
      <c r="Q424" t="s">
        <v>990</v>
      </c>
      <c r="R424" t="s">
        <v>5</v>
      </c>
      <c r="AG424" t="s">
        <v>532</v>
      </c>
      <c r="AH424" t="s">
        <v>533</v>
      </c>
      <c r="AI424" t="s">
        <v>353</v>
      </c>
      <c r="AJ424" t="s">
        <v>990</v>
      </c>
      <c r="AK424" s="1">
        <v>-180000</v>
      </c>
      <c r="AL424" s="1">
        <v>0</v>
      </c>
      <c r="AM424" s="1">
        <v>-180000</v>
      </c>
      <c r="AN424" s="1">
        <v>-112522.75</v>
      </c>
      <c r="AO424" s="1">
        <v>0</v>
      </c>
      <c r="AP424" s="1">
        <v>-112522.75</v>
      </c>
      <c r="AQ424" s="1">
        <v>-187623.55</v>
      </c>
      <c r="AR424" s="1">
        <v>0</v>
      </c>
      <c r="AS424" s="1">
        <v>-187623.55</v>
      </c>
      <c r="AT424" s="1">
        <v>0</v>
      </c>
      <c r="BA424" s="195"/>
      <c r="BB424" s="195"/>
      <c r="BC424" s="195"/>
      <c r="BD424" s="195"/>
      <c r="BE424" s="195"/>
      <c r="BF424" s="195"/>
      <c r="BG424" s="195"/>
      <c r="BH424" s="195"/>
      <c r="BI424" s="195"/>
    </row>
    <row r="425" spans="1:61" x14ac:dyDescent="0.25">
      <c r="A425" t="s">
        <v>343</v>
      </c>
      <c r="B425" t="s">
        <v>344</v>
      </c>
      <c r="C425" t="s">
        <v>982</v>
      </c>
      <c r="D425" t="s">
        <v>45</v>
      </c>
      <c r="E425" t="s">
        <v>983</v>
      </c>
      <c r="F425" t="s">
        <v>42</v>
      </c>
      <c r="G425" t="s">
        <v>984</v>
      </c>
      <c r="H425" t="s">
        <v>36</v>
      </c>
      <c r="I425" t="s">
        <v>985</v>
      </c>
      <c r="J425" t="s">
        <v>32</v>
      </c>
      <c r="K425" t="s">
        <v>986</v>
      </c>
      <c r="L425" t="s">
        <v>28</v>
      </c>
      <c r="M425" t="s">
        <v>987</v>
      </c>
      <c r="N425" t="s">
        <v>25</v>
      </c>
      <c r="O425" t="s">
        <v>988</v>
      </c>
      <c r="P425" t="s">
        <v>8</v>
      </c>
      <c r="Q425" t="s">
        <v>990</v>
      </c>
      <c r="R425" t="s">
        <v>5</v>
      </c>
      <c r="AG425" t="s">
        <v>534</v>
      </c>
      <c r="AH425" t="s">
        <v>535</v>
      </c>
      <c r="AI425" t="s">
        <v>353</v>
      </c>
      <c r="AJ425" t="s">
        <v>990</v>
      </c>
      <c r="AK425" s="1">
        <v>-520</v>
      </c>
      <c r="AL425" s="1">
        <v>0</v>
      </c>
      <c r="AM425" s="1">
        <v>-520</v>
      </c>
      <c r="AN425" s="1">
        <v>-260</v>
      </c>
      <c r="AO425" s="1">
        <v>0</v>
      </c>
      <c r="AP425" s="1">
        <v>-260</v>
      </c>
      <c r="AQ425" s="1">
        <v>0</v>
      </c>
      <c r="AR425" s="1">
        <v>0</v>
      </c>
      <c r="AS425" s="1">
        <v>0</v>
      </c>
      <c r="AT425" s="1">
        <v>0</v>
      </c>
      <c r="BA425" s="195"/>
      <c r="BB425" s="195"/>
      <c r="BC425" s="195"/>
      <c r="BD425" s="195"/>
      <c r="BE425" s="195"/>
      <c r="BF425" s="195"/>
      <c r="BG425" s="195"/>
      <c r="BH425" s="195"/>
      <c r="BI425" s="195"/>
    </row>
    <row r="426" spans="1:61" x14ac:dyDescent="0.25">
      <c r="A426" t="s">
        <v>343</v>
      </c>
      <c r="B426" t="s">
        <v>344</v>
      </c>
      <c r="C426" t="s">
        <v>982</v>
      </c>
      <c r="D426" t="s">
        <v>45</v>
      </c>
      <c r="E426" t="s">
        <v>983</v>
      </c>
      <c r="F426" t="s">
        <v>42</v>
      </c>
      <c r="G426" t="s">
        <v>984</v>
      </c>
      <c r="H426" t="s">
        <v>36</v>
      </c>
      <c r="I426" t="s">
        <v>985</v>
      </c>
      <c r="J426" t="s">
        <v>32</v>
      </c>
      <c r="K426" t="s">
        <v>986</v>
      </c>
      <c r="L426" t="s">
        <v>28</v>
      </c>
      <c r="M426" t="s">
        <v>987</v>
      </c>
      <c r="N426" t="s">
        <v>25</v>
      </c>
      <c r="O426" t="s">
        <v>988</v>
      </c>
      <c r="P426" t="s">
        <v>8</v>
      </c>
      <c r="Q426" t="s">
        <v>990</v>
      </c>
      <c r="R426" t="s">
        <v>5</v>
      </c>
      <c r="AG426" t="s">
        <v>536</v>
      </c>
      <c r="AH426" t="s">
        <v>537</v>
      </c>
      <c r="AI426" t="s">
        <v>353</v>
      </c>
      <c r="AJ426" t="s">
        <v>990</v>
      </c>
      <c r="AK426" s="1">
        <v>-189903.78</v>
      </c>
      <c r="AL426" s="1">
        <v>0</v>
      </c>
      <c r="AM426" s="1">
        <v>-189903.78</v>
      </c>
      <c r="AN426" s="1">
        <v>-94951.89</v>
      </c>
      <c r="AO426" s="1">
        <v>0</v>
      </c>
      <c r="AP426" s="1">
        <v>-94951.89</v>
      </c>
      <c r="AQ426" s="1">
        <v>-136165.82</v>
      </c>
      <c r="AR426" s="1">
        <v>0</v>
      </c>
      <c r="AS426" s="1">
        <v>-136165.82</v>
      </c>
      <c r="AT426" s="1">
        <v>0</v>
      </c>
      <c r="BA426" s="195"/>
      <c r="BB426" s="195"/>
      <c r="BC426" s="195"/>
      <c r="BD426" s="195"/>
      <c r="BE426" s="195"/>
      <c r="BF426" s="195"/>
      <c r="BG426" s="195"/>
      <c r="BH426" s="195"/>
      <c r="BI426" s="195"/>
    </row>
    <row r="427" spans="1:61" x14ac:dyDescent="0.25">
      <c r="A427" t="s">
        <v>343</v>
      </c>
      <c r="B427" t="s">
        <v>344</v>
      </c>
      <c r="C427" t="s">
        <v>982</v>
      </c>
      <c r="D427" t="s">
        <v>45</v>
      </c>
      <c r="E427" t="s">
        <v>983</v>
      </c>
      <c r="F427" t="s">
        <v>42</v>
      </c>
      <c r="G427" t="s">
        <v>984</v>
      </c>
      <c r="H427" t="s">
        <v>36</v>
      </c>
      <c r="I427" t="s">
        <v>985</v>
      </c>
      <c r="J427" t="s">
        <v>32</v>
      </c>
      <c r="K427" t="s">
        <v>986</v>
      </c>
      <c r="L427" t="s">
        <v>28</v>
      </c>
      <c r="M427" t="s">
        <v>987</v>
      </c>
      <c r="N427" t="s">
        <v>25</v>
      </c>
      <c r="O427" t="s">
        <v>988</v>
      </c>
      <c r="P427" t="s">
        <v>8</v>
      </c>
      <c r="Q427" t="s">
        <v>990</v>
      </c>
      <c r="R427" t="s">
        <v>5</v>
      </c>
      <c r="AG427" t="s">
        <v>538</v>
      </c>
      <c r="AH427" t="s">
        <v>539</v>
      </c>
      <c r="AI427" t="s">
        <v>353</v>
      </c>
      <c r="AJ427" t="s">
        <v>990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-2354.5</v>
      </c>
      <c r="AR427" s="1">
        <v>0</v>
      </c>
      <c r="AS427" s="1">
        <v>-2354.5</v>
      </c>
      <c r="AT427" s="1">
        <v>0</v>
      </c>
      <c r="BA427" s="195"/>
      <c r="BB427" s="195"/>
      <c r="BC427" s="195"/>
      <c r="BD427" s="195"/>
      <c r="BE427" s="195"/>
      <c r="BF427" s="195"/>
      <c r="BG427" s="195"/>
      <c r="BH427" s="195"/>
      <c r="BI427" s="195"/>
    </row>
    <row r="428" spans="1:61" x14ac:dyDescent="0.25">
      <c r="A428" t="s">
        <v>343</v>
      </c>
      <c r="B428" t="s">
        <v>344</v>
      </c>
      <c r="C428" t="s">
        <v>982</v>
      </c>
      <c r="D428" t="s">
        <v>45</v>
      </c>
      <c r="E428" t="s">
        <v>983</v>
      </c>
      <c r="F428" t="s">
        <v>42</v>
      </c>
      <c r="G428" t="s">
        <v>984</v>
      </c>
      <c r="H428" t="s">
        <v>36</v>
      </c>
      <c r="I428" t="s">
        <v>985</v>
      </c>
      <c r="J428" t="s">
        <v>32</v>
      </c>
      <c r="K428" t="s">
        <v>986</v>
      </c>
      <c r="L428" t="s">
        <v>28</v>
      </c>
      <c r="M428" t="s">
        <v>987</v>
      </c>
      <c r="N428" t="s">
        <v>25</v>
      </c>
      <c r="O428" t="s">
        <v>988</v>
      </c>
      <c r="P428" t="s">
        <v>8</v>
      </c>
      <c r="Q428" t="s">
        <v>990</v>
      </c>
      <c r="R428" t="s">
        <v>5</v>
      </c>
      <c r="AG428" t="s">
        <v>540</v>
      </c>
      <c r="AH428" t="s">
        <v>541</v>
      </c>
      <c r="AI428" t="s">
        <v>353</v>
      </c>
      <c r="AJ428" t="s">
        <v>990</v>
      </c>
      <c r="AK428" s="1">
        <v>-1420.28</v>
      </c>
      <c r="AL428" s="1">
        <v>0</v>
      </c>
      <c r="AM428" s="1">
        <v>-1420.28</v>
      </c>
      <c r="AN428" s="1">
        <v>-710.14</v>
      </c>
      <c r="AO428" s="1">
        <v>0</v>
      </c>
      <c r="AP428" s="1">
        <v>-710.14</v>
      </c>
      <c r="AQ428" s="1">
        <v>0</v>
      </c>
      <c r="AR428" s="1">
        <v>0</v>
      </c>
      <c r="AS428" s="1">
        <v>0</v>
      </c>
      <c r="AT428" s="1">
        <v>0</v>
      </c>
      <c r="BA428" s="195"/>
      <c r="BB428" s="195"/>
      <c r="BC428" s="195"/>
      <c r="BD428" s="195"/>
      <c r="BE428" s="195"/>
      <c r="BF428" s="195"/>
      <c r="BG428" s="195"/>
      <c r="BH428" s="195"/>
      <c r="BI428" s="195"/>
    </row>
    <row r="429" spans="1:61" x14ac:dyDescent="0.25">
      <c r="A429" t="s">
        <v>343</v>
      </c>
      <c r="B429" t="s">
        <v>344</v>
      </c>
      <c r="C429" t="s">
        <v>982</v>
      </c>
      <c r="D429" t="s">
        <v>45</v>
      </c>
      <c r="E429" t="s">
        <v>983</v>
      </c>
      <c r="F429" t="s">
        <v>42</v>
      </c>
      <c r="G429" t="s">
        <v>984</v>
      </c>
      <c r="H429" t="s">
        <v>36</v>
      </c>
      <c r="I429" t="s">
        <v>985</v>
      </c>
      <c r="J429" t="s">
        <v>32</v>
      </c>
      <c r="K429" t="s">
        <v>986</v>
      </c>
      <c r="L429" t="s">
        <v>28</v>
      </c>
      <c r="M429" t="s">
        <v>987</v>
      </c>
      <c r="N429" t="s">
        <v>25</v>
      </c>
      <c r="O429" t="s">
        <v>988</v>
      </c>
      <c r="P429" t="s">
        <v>8</v>
      </c>
      <c r="Q429" t="s">
        <v>991</v>
      </c>
      <c r="R429" t="s">
        <v>43</v>
      </c>
      <c r="AG429" t="s">
        <v>508</v>
      </c>
      <c r="AH429" t="s">
        <v>509</v>
      </c>
      <c r="AI429" t="s">
        <v>353</v>
      </c>
      <c r="AJ429" t="s">
        <v>991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-330</v>
      </c>
      <c r="AR429" s="1">
        <v>0</v>
      </c>
      <c r="AS429" s="1">
        <v>-330</v>
      </c>
      <c r="AT429" s="1">
        <v>0</v>
      </c>
      <c r="BA429" s="195"/>
      <c r="BB429" s="195"/>
      <c r="BC429" s="195"/>
      <c r="BD429" s="195"/>
      <c r="BE429" s="195"/>
      <c r="BF429" s="195"/>
      <c r="BG429" s="195"/>
      <c r="BH429" s="195"/>
      <c r="BI429" s="195"/>
    </row>
    <row r="430" spans="1:61" x14ac:dyDescent="0.25">
      <c r="A430" t="s">
        <v>343</v>
      </c>
      <c r="B430" t="s">
        <v>344</v>
      </c>
      <c r="C430" t="s">
        <v>982</v>
      </c>
      <c r="D430" t="s">
        <v>45</v>
      </c>
      <c r="E430" t="s">
        <v>983</v>
      </c>
      <c r="F430" t="s">
        <v>42</v>
      </c>
      <c r="G430" t="s">
        <v>984</v>
      </c>
      <c r="H430" t="s">
        <v>36</v>
      </c>
      <c r="I430" t="s">
        <v>985</v>
      </c>
      <c r="J430" t="s">
        <v>32</v>
      </c>
      <c r="K430" t="s">
        <v>986</v>
      </c>
      <c r="L430" t="s">
        <v>28</v>
      </c>
      <c r="M430" t="s">
        <v>987</v>
      </c>
      <c r="N430" t="s">
        <v>25</v>
      </c>
      <c r="O430" t="s">
        <v>988</v>
      </c>
      <c r="P430" t="s">
        <v>8</v>
      </c>
      <c r="Q430" t="s">
        <v>991</v>
      </c>
      <c r="R430" t="s">
        <v>43</v>
      </c>
      <c r="AG430" t="s">
        <v>510</v>
      </c>
      <c r="AH430" t="s">
        <v>511</v>
      </c>
      <c r="AI430" t="s">
        <v>353</v>
      </c>
      <c r="AJ430" t="s">
        <v>991</v>
      </c>
      <c r="AK430" s="1">
        <v>-1178</v>
      </c>
      <c r="AL430" s="1">
        <v>0</v>
      </c>
      <c r="AM430" s="1">
        <v>-1178</v>
      </c>
      <c r="AN430" s="1">
        <v>-40273.019999999997</v>
      </c>
      <c r="AO430" s="1">
        <v>0</v>
      </c>
      <c r="AP430" s="1">
        <v>-40273.019999999997</v>
      </c>
      <c r="AQ430" s="1">
        <v>-28364.67</v>
      </c>
      <c r="AR430" s="1">
        <v>0</v>
      </c>
      <c r="AS430" s="1">
        <v>-28364.67</v>
      </c>
      <c r="AT430" s="1">
        <v>0</v>
      </c>
      <c r="BA430" s="195"/>
      <c r="BB430" s="195"/>
      <c r="BC430" s="195"/>
      <c r="BD430" s="195"/>
      <c r="BE430" s="195"/>
      <c r="BF430" s="195"/>
      <c r="BG430" s="195"/>
      <c r="BH430" s="195"/>
      <c r="BI430" s="195"/>
    </row>
    <row r="431" spans="1:61" x14ac:dyDescent="0.25">
      <c r="A431" t="s">
        <v>343</v>
      </c>
      <c r="B431" t="s">
        <v>344</v>
      </c>
      <c r="C431" t="s">
        <v>982</v>
      </c>
      <c r="D431" t="s">
        <v>45</v>
      </c>
      <c r="E431" t="s">
        <v>983</v>
      </c>
      <c r="F431" t="s">
        <v>42</v>
      </c>
      <c r="G431" t="s">
        <v>984</v>
      </c>
      <c r="H431" t="s">
        <v>36</v>
      </c>
      <c r="I431" t="s">
        <v>985</v>
      </c>
      <c r="J431" t="s">
        <v>32</v>
      </c>
      <c r="K431" t="s">
        <v>986</v>
      </c>
      <c r="L431" t="s">
        <v>28</v>
      </c>
      <c r="M431" t="s">
        <v>987</v>
      </c>
      <c r="N431" t="s">
        <v>25</v>
      </c>
      <c r="O431" t="s">
        <v>992</v>
      </c>
      <c r="P431" t="s">
        <v>19</v>
      </c>
      <c r="Q431" t="s">
        <v>993</v>
      </c>
      <c r="R431" t="s">
        <v>15</v>
      </c>
      <c r="S431" t="s">
        <v>994</v>
      </c>
      <c r="T431" t="s">
        <v>12</v>
      </c>
      <c r="AG431" t="s">
        <v>737</v>
      </c>
      <c r="AH431" t="s">
        <v>738</v>
      </c>
      <c r="AI431" t="s">
        <v>353</v>
      </c>
      <c r="AJ431" t="s">
        <v>994</v>
      </c>
      <c r="AK431" s="1">
        <v>2932803.02</v>
      </c>
      <c r="AL431" s="1">
        <v>0</v>
      </c>
      <c r="AM431" s="1">
        <v>2932803.02</v>
      </c>
      <c r="AN431" s="1">
        <v>1466401.51</v>
      </c>
      <c r="AO431" s="1">
        <v>0</v>
      </c>
      <c r="AP431" s="1">
        <v>1466401.51</v>
      </c>
      <c r="AQ431" s="1">
        <v>1564044.46</v>
      </c>
      <c r="AR431" s="1">
        <v>0</v>
      </c>
      <c r="AS431" s="1">
        <v>1564044.46</v>
      </c>
      <c r="AT431" s="1">
        <v>0</v>
      </c>
      <c r="BA431" s="195"/>
      <c r="BB431" s="195"/>
      <c r="BC431" s="195"/>
      <c r="BD431" s="195"/>
      <c r="BE431" s="195"/>
      <c r="BF431" s="195"/>
      <c r="BG431" s="195"/>
      <c r="BH431" s="195"/>
      <c r="BI431" s="195"/>
    </row>
    <row r="432" spans="1:61" x14ac:dyDescent="0.25">
      <c r="A432" t="s">
        <v>343</v>
      </c>
      <c r="B432" t="s">
        <v>344</v>
      </c>
      <c r="C432" t="s">
        <v>982</v>
      </c>
      <c r="D432" t="s">
        <v>45</v>
      </c>
      <c r="E432" t="s">
        <v>983</v>
      </c>
      <c r="F432" t="s">
        <v>42</v>
      </c>
      <c r="G432" t="s">
        <v>984</v>
      </c>
      <c r="H432" t="s">
        <v>36</v>
      </c>
      <c r="I432" t="s">
        <v>985</v>
      </c>
      <c r="J432" t="s">
        <v>32</v>
      </c>
      <c r="K432" t="s">
        <v>986</v>
      </c>
      <c r="L432" t="s">
        <v>28</v>
      </c>
      <c r="M432" t="s">
        <v>987</v>
      </c>
      <c r="N432" t="s">
        <v>25</v>
      </c>
      <c r="O432" t="s">
        <v>992</v>
      </c>
      <c r="P432" t="s">
        <v>19</v>
      </c>
      <c r="Q432" t="s">
        <v>993</v>
      </c>
      <c r="R432" t="s">
        <v>15</v>
      </c>
      <c r="S432" t="s">
        <v>994</v>
      </c>
      <c r="T432" t="s">
        <v>12</v>
      </c>
      <c r="AG432" t="s">
        <v>739</v>
      </c>
      <c r="AH432" t="s">
        <v>740</v>
      </c>
      <c r="AI432" t="s">
        <v>353</v>
      </c>
      <c r="AJ432" t="s">
        <v>994</v>
      </c>
      <c r="AK432" s="1">
        <v>94938</v>
      </c>
      <c r="AL432" s="1">
        <v>0</v>
      </c>
      <c r="AM432" s="1">
        <v>94938</v>
      </c>
      <c r="AN432" s="1">
        <v>47469</v>
      </c>
      <c r="AO432" s="1">
        <v>0</v>
      </c>
      <c r="AP432" s="1">
        <v>47469</v>
      </c>
      <c r="AQ432" s="1">
        <v>108274.35</v>
      </c>
      <c r="AR432" s="1">
        <v>0</v>
      </c>
      <c r="AS432" s="1">
        <v>108274.35</v>
      </c>
      <c r="AT432" s="1">
        <v>0</v>
      </c>
      <c r="BA432" s="195"/>
      <c r="BB432" s="195"/>
      <c r="BC432" s="195"/>
      <c r="BD432" s="195"/>
      <c r="BE432" s="195"/>
      <c r="BF432" s="195"/>
      <c r="BG432" s="195"/>
      <c r="BH432" s="195"/>
      <c r="BI432" s="195"/>
    </row>
    <row r="433" spans="1:61" x14ac:dyDescent="0.25">
      <c r="A433" t="s">
        <v>343</v>
      </c>
      <c r="B433" t="s">
        <v>344</v>
      </c>
      <c r="C433" t="s">
        <v>982</v>
      </c>
      <c r="D433" t="s">
        <v>45</v>
      </c>
      <c r="E433" t="s">
        <v>983</v>
      </c>
      <c r="F433" t="s">
        <v>42</v>
      </c>
      <c r="G433" t="s">
        <v>984</v>
      </c>
      <c r="H433" t="s">
        <v>36</v>
      </c>
      <c r="I433" t="s">
        <v>985</v>
      </c>
      <c r="J433" t="s">
        <v>32</v>
      </c>
      <c r="K433" t="s">
        <v>986</v>
      </c>
      <c r="L433" t="s">
        <v>28</v>
      </c>
      <c r="M433" t="s">
        <v>987</v>
      </c>
      <c r="N433" t="s">
        <v>25</v>
      </c>
      <c r="O433" t="s">
        <v>992</v>
      </c>
      <c r="P433" t="s">
        <v>19</v>
      </c>
      <c r="Q433" t="s">
        <v>993</v>
      </c>
      <c r="R433" t="s">
        <v>15</v>
      </c>
      <c r="S433" t="s">
        <v>994</v>
      </c>
      <c r="T433" t="s">
        <v>12</v>
      </c>
      <c r="AG433" t="s">
        <v>741</v>
      </c>
      <c r="AH433" t="s">
        <v>742</v>
      </c>
      <c r="AI433" t="s">
        <v>353</v>
      </c>
      <c r="AJ433" t="s">
        <v>994</v>
      </c>
      <c r="AK433" s="1">
        <v>1040000</v>
      </c>
      <c r="AL433" s="1">
        <v>0</v>
      </c>
      <c r="AM433" s="1">
        <v>1040000</v>
      </c>
      <c r="AN433" s="1">
        <v>2141.12</v>
      </c>
      <c r="AO433" s="1">
        <v>0</v>
      </c>
      <c r="AP433" s="1">
        <v>2141.12</v>
      </c>
      <c r="AQ433" s="1">
        <v>12670.74</v>
      </c>
      <c r="AR433" s="1">
        <v>0</v>
      </c>
      <c r="AS433" s="1">
        <v>12670.74</v>
      </c>
      <c r="AT433" s="1">
        <v>0</v>
      </c>
      <c r="BA433" s="195"/>
      <c r="BB433" s="195"/>
      <c r="BC433" s="195"/>
      <c r="BD433" s="195"/>
      <c r="BE433" s="195"/>
      <c r="BF433" s="195"/>
      <c r="BG433" s="195"/>
      <c r="BH433" s="195"/>
      <c r="BI433" s="195"/>
    </row>
    <row r="434" spans="1:61" x14ac:dyDescent="0.25">
      <c r="A434" t="s">
        <v>343</v>
      </c>
      <c r="B434" t="s">
        <v>344</v>
      </c>
      <c r="C434" t="s">
        <v>982</v>
      </c>
      <c r="D434" t="s">
        <v>45</v>
      </c>
      <c r="E434" t="s">
        <v>983</v>
      </c>
      <c r="F434" t="s">
        <v>42</v>
      </c>
      <c r="G434" t="s">
        <v>984</v>
      </c>
      <c r="H434" t="s">
        <v>36</v>
      </c>
      <c r="I434" t="s">
        <v>985</v>
      </c>
      <c r="J434" t="s">
        <v>32</v>
      </c>
      <c r="K434" t="s">
        <v>986</v>
      </c>
      <c r="L434" t="s">
        <v>28</v>
      </c>
      <c r="M434" t="s">
        <v>987</v>
      </c>
      <c r="N434" t="s">
        <v>25</v>
      </c>
      <c r="O434" t="s">
        <v>992</v>
      </c>
      <c r="P434" t="s">
        <v>19</v>
      </c>
      <c r="Q434" t="s">
        <v>993</v>
      </c>
      <c r="R434" t="s">
        <v>15</v>
      </c>
      <c r="S434" t="s">
        <v>994</v>
      </c>
      <c r="T434" t="s">
        <v>12</v>
      </c>
      <c r="AG434" t="s">
        <v>743</v>
      </c>
      <c r="AH434" t="s">
        <v>744</v>
      </c>
      <c r="AI434" t="s">
        <v>353</v>
      </c>
      <c r="AJ434" t="s">
        <v>994</v>
      </c>
      <c r="AK434" s="1">
        <v>669910.06000000006</v>
      </c>
      <c r="AL434" s="1">
        <v>0</v>
      </c>
      <c r="AM434" s="1">
        <v>669910.06000000006</v>
      </c>
      <c r="AN434" s="1">
        <v>334955.03000000003</v>
      </c>
      <c r="AO434" s="1">
        <v>0</v>
      </c>
      <c r="AP434" s="1">
        <v>334955.03000000003</v>
      </c>
      <c r="AQ434" s="1">
        <v>442116.04</v>
      </c>
      <c r="AR434" s="1">
        <v>0</v>
      </c>
      <c r="AS434" s="1">
        <v>442116.04</v>
      </c>
      <c r="AT434" s="1">
        <v>0</v>
      </c>
      <c r="BA434" s="195"/>
      <c r="BB434" s="195"/>
      <c r="BC434" s="195"/>
      <c r="BD434" s="195"/>
      <c r="BE434" s="195"/>
      <c r="BF434" s="195"/>
      <c r="BG434" s="195"/>
      <c r="BH434" s="195"/>
      <c r="BI434" s="195"/>
    </row>
    <row r="435" spans="1:61" x14ac:dyDescent="0.25">
      <c r="A435" t="s">
        <v>343</v>
      </c>
      <c r="B435" t="s">
        <v>344</v>
      </c>
      <c r="C435" t="s">
        <v>982</v>
      </c>
      <c r="D435" t="s">
        <v>45</v>
      </c>
      <c r="E435" t="s">
        <v>983</v>
      </c>
      <c r="F435" t="s">
        <v>42</v>
      </c>
      <c r="G435" t="s">
        <v>984</v>
      </c>
      <c r="H435" t="s">
        <v>36</v>
      </c>
      <c r="I435" t="s">
        <v>985</v>
      </c>
      <c r="J435" t="s">
        <v>32</v>
      </c>
      <c r="K435" t="s">
        <v>986</v>
      </c>
      <c r="L435" t="s">
        <v>28</v>
      </c>
      <c r="M435" t="s">
        <v>987</v>
      </c>
      <c r="N435" t="s">
        <v>25</v>
      </c>
      <c r="O435" t="s">
        <v>992</v>
      </c>
      <c r="P435" t="s">
        <v>19</v>
      </c>
      <c r="Q435" t="s">
        <v>993</v>
      </c>
      <c r="R435" t="s">
        <v>15</v>
      </c>
      <c r="S435" t="s">
        <v>994</v>
      </c>
      <c r="T435" t="s">
        <v>12</v>
      </c>
      <c r="AG435" t="s">
        <v>745</v>
      </c>
      <c r="AH435" t="s">
        <v>746</v>
      </c>
      <c r="AI435" t="s">
        <v>353</v>
      </c>
      <c r="AJ435" t="s">
        <v>994</v>
      </c>
      <c r="AK435" s="1">
        <v>1235235.1399999999</v>
      </c>
      <c r="AL435" s="1">
        <v>0</v>
      </c>
      <c r="AM435" s="1">
        <v>1235235.1399999999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BA435" s="195"/>
      <c r="BB435" s="195"/>
      <c r="BC435" s="195"/>
      <c r="BD435" s="195"/>
      <c r="BE435" s="195"/>
      <c r="BF435" s="195"/>
      <c r="BG435" s="195"/>
      <c r="BH435" s="195"/>
      <c r="BI435" s="195"/>
    </row>
    <row r="436" spans="1:61" x14ac:dyDescent="0.25">
      <c r="A436" t="s">
        <v>343</v>
      </c>
      <c r="B436" t="s">
        <v>344</v>
      </c>
      <c r="C436" t="s">
        <v>982</v>
      </c>
      <c r="D436" t="s">
        <v>45</v>
      </c>
      <c r="E436" t="s">
        <v>983</v>
      </c>
      <c r="F436" t="s">
        <v>42</v>
      </c>
      <c r="G436" t="s">
        <v>984</v>
      </c>
      <c r="H436" t="s">
        <v>36</v>
      </c>
      <c r="I436" t="s">
        <v>985</v>
      </c>
      <c r="J436" t="s">
        <v>32</v>
      </c>
      <c r="K436" t="s">
        <v>986</v>
      </c>
      <c r="L436" t="s">
        <v>28</v>
      </c>
      <c r="M436" t="s">
        <v>987</v>
      </c>
      <c r="N436" t="s">
        <v>25</v>
      </c>
      <c r="O436" t="s">
        <v>992</v>
      </c>
      <c r="P436" t="s">
        <v>19</v>
      </c>
      <c r="Q436" t="s">
        <v>993</v>
      </c>
      <c r="R436" t="s">
        <v>15</v>
      </c>
      <c r="S436" t="s">
        <v>994</v>
      </c>
      <c r="T436" t="s">
        <v>12</v>
      </c>
      <c r="AG436" t="s">
        <v>747</v>
      </c>
      <c r="AH436" t="s">
        <v>748</v>
      </c>
      <c r="AI436" t="s">
        <v>353</v>
      </c>
      <c r="AJ436" t="s">
        <v>994</v>
      </c>
      <c r="AK436" s="1">
        <v>160000</v>
      </c>
      <c r="AL436" s="1">
        <v>0</v>
      </c>
      <c r="AM436" s="1">
        <v>160000</v>
      </c>
      <c r="AN436" s="1">
        <v>1144433.94</v>
      </c>
      <c r="AO436" s="1">
        <v>0</v>
      </c>
      <c r="AP436" s="1">
        <v>1144433.94</v>
      </c>
      <c r="AQ436" s="1">
        <v>1208960.96</v>
      </c>
      <c r="AR436" s="1">
        <v>0</v>
      </c>
      <c r="AS436" s="1">
        <v>1208960.96</v>
      </c>
      <c r="AT436" s="1">
        <v>0</v>
      </c>
      <c r="BA436" s="195"/>
      <c r="BB436" s="195"/>
      <c r="BC436" s="195"/>
      <c r="BD436" s="195"/>
      <c r="BE436" s="195"/>
      <c r="BF436" s="195"/>
      <c r="BG436" s="195"/>
      <c r="BH436" s="195"/>
      <c r="BI436" s="195"/>
    </row>
    <row r="437" spans="1:61" x14ac:dyDescent="0.25">
      <c r="A437" t="s">
        <v>343</v>
      </c>
      <c r="B437" t="s">
        <v>344</v>
      </c>
      <c r="C437" t="s">
        <v>982</v>
      </c>
      <c r="D437" t="s">
        <v>45</v>
      </c>
      <c r="E437" t="s">
        <v>983</v>
      </c>
      <c r="F437" t="s">
        <v>42</v>
      </c>
      <c r="G437" t="s">
        <v>984</v>
      </c>
      <c r="H437" t="s">
        <v>36</v>
      </c>
      <c r="I437" t="s">
        <v>985</v>
      </c>
      <c r="J437" t="s">
        <v>32</v>
      </c>
      <c r="K437" t="s">
        <v>986</v>
      </c>
      <c r="L437" t="s">
        <v>28</v>
      </c>
      <c r="M437" t="s">
        <v>987</v>
      </c>
      <c r="N437" t="s">
        <v>25</v>
      </c>
      <c r="O437" t="s">
        <v>992</v>
      </c>
      <c r="P437" t="s">
        <v>19</v>
      </c>
      <c r="Q437" t="s">
        <v>993</v>
      </c>
      <c r="R437" t="s">
        <v>15</v>
      </c>
      <c r="S437" t="s">
        <v>994</v>
      </c>
      <c r="T437" t="s">
        <v>12</v>
      </c>
      <c r="AG437" t="s">
        <v>749</v>
      </c>
      <c r="AH437" t="s">
        <v>750</v>
      </c>
      <c r="AI437" t="s">
        <v>353</v>
      </c>
      <c r="AJ437" t="s">
        <v>994</v>
      </c>
      <c r="AK437" s="1">
        <v>757912.7</v>
      </c>
      <c r="AL437" s="1">
        <v>0</v>
      </c>
      <c r="AM437" s="1">
        <v>757912.7</v>
      </c>
      <c r="AN437" s="1">
        <v>378956.35</v>
      </c>
      <c r="AO437" s="1">
        <v>0</v>
      </c>
      <c r="AP437" s="1">
        <v>378956.35</v>
      </c>
      <c r="AQ437" s="1">
        <v>309228.06</v>
      </c>
      <c r="AR437" s="1">
        <v>0</v>
      </c>
      <c r="AS437" s="1">
        <v>309228.06</v>
      </c>
      <c r="AT437" s="1">
        <v>0</v>
      </c>
      <c r="BA437" s="195"/>
      <c r="BB437" s="195"/>
      <c r="BC437" s="195"/>
      <c r="BD437" s="195"/>
      <c r="BE437" s="195"/>
      <c r="BF437" s="195"/>
      <c r="BG437" s="195"/>
      <c r="BH437" s="195"/>
      <c r="BI437" s="195"/>
    </row>
    <row r="438" spans="1:61" x14ac:dyDescent="0.25">
      <c r="A438" t="s">
        <v>343</v>
      </c>
      <c r="B438" t="s">
        <v>344</v>
      </c>
      <c r="C438" t="s">
        <v>982</v>
      </c>
      <c r="D438" t="s">
        <v>45</v>
      </c>
      <c r="E438" t="s">
        <v>983</v>
      </c>
      <c r="F438" t="s">
        <v>42</v>
      </c>
      <c r="G438" t="s">
        <v>984</v>
      </c>
      <c r="H438" t="s">
        <v>36</v>
      </c>
      <c r="I438" t="s">
        <v>985</v>
      </c>
      <c r="J438" t="s">
        <v>32</v>
      </c>
      <c r="K438" t="s">
        <v>986</v>
      </c>
      <c r="L438" t="s">
        <v>28</v>
      </c>
      <c r="M438" t="s">
        <v>987</v>
      </c>
      <c r="N438" t="s">
        <v>25</v>
      </c>
      <c r="O438" t="s">
        <v>992</v>
      </c>
      <c r="P438" t="s">
        <v>19</v>
      </c>
      <c r="Q438" t="s">
        <v>993</v>
      </c>
      <c r="R438" t="s">
        <v>15</v>
      </c>
      <c r="S438" t="s">
        <v>994</v>
      </c>
      <c r="T438" t="s">
        <v>12</v>
      </c>
      <c r="AG438" t="s">
        <v>751</v>
      </c>
      <c r="AH438" t="s">
        <v>752</v>
      </c>
      <c r="AI438" t="s">
        <v>353</v>
      </c>
      <c r="AJ438" t="s">
        <v>994</v>
      </c>
      <c r="AK438" s="1">
        <v>9240</v>
      </c>
      <c r="AL438" s="1">
        <v>0</v>
      </c>
      <c r="AM438" s="1">
        <v>9240</v>
      </c>
      <c r="AN438" s="1">
        <v>4620</v>
      </c>
      <c r="AO438" s="1">
        <v>0</v>
      </c>
      <c r="AP438" s="1">
        <v>4620</v>
      </c>
      <c r="AQ438" s="1">
        <v>4000</v>
      </c>
      <c r="AR438" s="1">
        <v>0</v>
      </c>
      <c r="AS438" s="1">
        <v>4000</v>
      </c>
      <c r="AT438" s="1">
        <v>0</v>
      </c>
      <c r="BA438" s="195"/>
      <c r="BB438" s="195"/>
      <c r="BC438" s="195"/>
      <c r="BD438" s="195"/>
      <c r="BE438" s="195"/>
      <c r="BF438" s="195"/>
      <c r="BG438" s="195"/>
      <c r="BH438" s="195"/>
      <c r="BI438" s="195"/>
    </row>
    <row r="439" spans="1:61" x14ac:dyDescent="0.25">
      <c r="A439" t="s">
        <v>343</v>
      </c>
      <c r="B439" t="s">
        <v>344</v>
      </c>
      <c r="C439" t="s">
        <v>982</v>
      </c>
      <c r="D439" t="s">
        <v>45</v>
      </c>
      <c r="E439" t="s">
        <v>983</v>
      </c>
      <c r="F439" t="s">
        <v>42</v>
      </c>
      <c r="G439" t="s">
        <v>984</v>
      </c>
      <c r="H439" t="s">
        <v>36</v>
      </c>
      <c r="I439" t="s">
        <v>985</v>
      </c>
      <c r="J439" t="s">
        <v>32</v>
      </c>
      <c r="K439" t="s">
        <v>986</v>
      </c>
      <c r="L439" t="s">
        <v>28</v>
      </c>
      <c r="M439" t="s">
        <v>987</v>
      </c>
      <c r="N439" t="s">
        <v>25</v>
      </c>
      <c r="O439" t="s">
        <v>992</v>
      </c>
      <c r="P439" t="s">
        <v>19</v>
      </c>
      <c r="Q439" t="s">
        <v>993</v>
      </c>
      <c r="R439" t="s">
        <v>15</v>
      </c>
      <c r="S439" t="s">
        <v>994</v>
      </c>
      <c r="T439" t="s">
        <v>12</v>
      </c>
      <c r="AG439" t="s">
        <v>753</v>
      </c>
      <c r="AH439" t="s">
        <v>754</v>
      </c>
      <c r="AI439" t="s">
        <v>353</v>
      </c>
      <c r="AJ439" t="s">
        <v>994</v>
      </c>
      <c r="AK439" s="1">
        <v>6810995.9199999999</v>
      </c>
      <c r="AL439" s="1">
        <v>0</v>
      </c>
      <c r="AM439" s="1">
        <v>6810995.9199999999</v>
      </c>
      <c r="AN439" s="1">
        <v>3405497.96</v>
      </c>
      <c r="AO439" s="1">
        <v>0</v>
      </c>
      <c r="AP439" s="1">
        <v>3405497.96</v>
      </c>
      <c r="AQ439" s="1">
        <v>2972947.09</v>
      </c>
      <c r="AR439" s="1">
        <v>0</v>
      </c>
      <c r="AS439" s="1">
        <v>2972947.09</v>
      </c>
      <c r="AT439" s="1">
        <v>0</v>
      </c>
      <c r="BA439" s="195"/>
      <c r="BB439" s="195"/>
      <c r="BC439" s="195"/>
      <c r="BD439" s="195"/>
      <c r="BE439" s="195"/>
      <c r="BF439" s="195"/>
      <c r="BG439" s="195"/>
      <c r="BH439" s="195"/>
      <c r="BI439" s="195"/>
    </row>
    <row r="440" spans="1:61" x14ac:dyDescent="0.25">
      <c r="A440" t="s">
        <v>343</v>
      </c>
      <c r="B440" t="s">
        <v>344</v>
      </c>
      <c r="C440" t="s">
        <v>982</v>
      </c>
      <c r="D440" t="s">
        <v>45</v>
      </c>
      <c r="E440" t="s">
        <v>983</v>
      </c>
      <c r="F440" t="s">
        <v>42</v>
      </c>
      <c r="G440" t="s">
        <v>984</v>
      </c>
      <c r="H440" t="s">
        <v>36</v>
      </c>
      <c r="I440" t="s">
        <v>985</v>
      </c>
      <c r="J440" t="s">
        <v>32</v>
      </c>
      <c r="K440" t="s">
        <v>986</v>
      </c>
      <c r="L440" t="s">
        <v>28</v>
      </c>
      <c r="M440" t="s">
        <v>987</v>
      </c>
      <c r="N440" t="s">
        <v>25</v>
      </c>
      <c r="O440" t="s">
        <v>992</v>
      </c>
      <c r="P440" t="s">
        <v>19</v>
      </c>
      <c r="Q440" t="s">
        <v>993</v>
      </c>
      <c r="R440" t="s">
        <v>15</v>
      </c>
      <c r="S440" t="s">
        <v>994</v>
      </c>
      <c r="T440" t="s">
        <v>12</v>
      </c>
      <c r="AG440" t="s">
        <v>755</v>
      </c>
      <c r="AH440" t="s">
        <v>756</v>
      </c>
      <c r="AI440" t="s">
        <v>353</v>
      </c>
      <c r="AJ440" t="s">
        <v>994</v>
      </c>
      <c r="AK440" s="1">
        <v>21958.080000000002</v>
      </c>
      <c r="AL440" s="1">
        <v>0</v>
      </c>
      <c r="AM440" s="1">
        <v>21958.080000000002</v>
      </c>
      <c r="AN440" s="1">
        <v>10979.04</v>
      </c>
      <c r="AO440" s="1">
        <v>0</v>
      </c>
      <c r="AP440" s="1">
        <v>10979.04</v>
      </c>
      <c r="AQ440" s="1">
        <v>11648.39</v>
      </c>
      <c r="AR440" s="1">
        <v>0</v>
      </c>
      <c r="AS440" s="1">
        <v>11648.39</v>
      </c>
      <c r="AT440" s="1">
        <v>0</v>
      </c>
      <c r="BA440" s="195"/>
      <c r="BB440" s="195"/>
      <c r="BC440" s="195"/>
      <c r="BD440" s="195"/>
      <c r="BE440" s="195"/>
      <c r="BF440" s="195"/>
      <c r="BG440" s="195"/>
      <c r="BH440" s="195"/>
      <c r="BI440" s="195"/>
    </row>
    <row r="441" spans="1:61" x14ac:dyDescent="0.25">
      <c r="A441" t="s">
        <v>343</v>
      </c>
      <c r="B441" t="s">
        <v>344</v>
      </c>
      <c r="C441" t="s">
        <v>982</v>
      </c>
      <c r="D441" t="s">
        <v>45</v>
      </c>
      <c r="E441" t="s">
        <v>983</v>
      </c>
      <c r="F441" t="s">
        <v>42</v>
      </c>
      <c r="G441" t="s">
        <v>984</v>
      </c>
      <c r="H441" t="s">
        <v>36</v>
      </c>
      <c r="I441" t="s">
        <v>985</v>
      </c>
      <c r="J441" t="s">
        <v>32</v>
      </c>
      <c r="K441" t="s">
        <v>986</v>
      </c>
      <c r="L441" t="s">
        <v>28</v>
      </c>
      <c r="M441" t="s">
        <v>987</v>
      </c>
      <c r="N441" t="s">
        <v>25</v>
      </c>
      <c r="O441" t="s">
        <v>992</v>
      </c>
      <c r="P441" t="s">
        <v>19</v>
      </c>
      <c r="Q441" t="s">
        <v>993</v>
      </c>
      <c r="R441" t="s">
        <v>15</v>
      </c>
      <c r="S441" t="s">
        <v>994</v>
      </c>
      <c r="T441" t="s">
        <v>12</v>
      </c>
      <c r="AG441" t="s">
        <v>757</v>
      </c>
      <c r="AH441" t="s">
        <v>758</v>
      </c>
      <c r="AI441" t="s">
        <v>353</v>
      </c>
      <c r="AJ441" t="s">
        <v>994</v>
      </c>
      <c r="AK441" s="1">
        <v>-4000.08</v>
      </c>
      <c r="AL441" s="1">
        <v>0</v>
      </c>
      <c r="AM441" s="1">
        <v>-4000.08</v>
      </c>
      <c r="AN441" s="1">
        <v>-2000.04</v>
      </c>
      <c r="AO441" s="1">
        <v>0</v>
      </c>
      <c r="AP441" s="1">
        <v>-2000.04</v>
      </c>
      <c r="AQ441" s="1">
        <v>2000.04</v>
      </c>
      <c r="AR441" s="1">
        <v>0</v>
      </c>
      <c r="AS441" s="1">
        <v>2000.04</v>
      </c>
      <c r="AT441" s="1">
        <v>0</v>
      </c>
      <c r="BA441" s="195"/>
      <c r="BB441" s="195"/>
      <c r="BC441" s="195"/>
      <c r="BD441" s="195"/>
      <c r="BE441" s="195"/>
      <c r="BF441" s="195"/>
      <c r="BG441" s="195"/>
      <c r="BH441" s="195"/>
      <c r="BI441" s="195"/>
    </row>
    <row r="442" spans="1:61" x14ac:dyDescent="0.25">
      <c r="A442" t="s">
        <v>343</v>
      </c>
      <c r="B442" t="s">
        <v>344</v>
      </c>
      <c r="C442" t="s">
        <v>982</v>
      </c>
      <c r="D442" t="s">
        <v>45</v>
      </c>
      <c r="E442" t="s">
        <v>983</v>
      </c>
      <c r="F442" t="s">
        <v>42</v>
      </c>
      <c r="G442" t="s">
        <v>984</v>
      </c>
      <c r="H442" t="s">
        <v>36</v>
      </c>
      <c r="I442" t="s">
        <v>985</v>
      </c>
      <c r="J442" t="s">
        <v>32</v>
      </c>
      <c r="K442" t="s">
        <v>986</v>
      </c>
      <c r="L442" t="s">
        <v>28</v>
      </c>
      <c r="M442" t="s">
        <v>987</v>
      </c>
      <c r="N442" t="s">
        <v>25</v>
      </c>
      <c r="O442" t="s">
        <v>992</v>
      </c>
      <c r="P442" t="s">
        <v>19</v>
      </c>
      <c r="Q442" t="s">
        <v>993</v>
      </c>
      <c r="R442" t="s">
        <v>15</v>
      </c>
      <c r="S442" t="s">
        <v>994</v>
      </c>
      <c r="T442" t="s">
        <v>12</v>
      </c>
      <c r="AG442" t="s">
        <v>759</v>
      </c>
      <c r="AH442" t="s">
        <v>760</v>
      </c>
      <c r="AI442" t="s">
        <v>353</v>
      </c>
      <c r="AJ442" t="s">
        <v>994</v>
      </c>
      <c r="AK442" s="1">
        <v>607360.48</v>
      </c>
      <c r="AL442" s="1">
        <v>0</v>
      </c>
      <c r="AM442" s="1">
        <v>607360.48</v>
      </c>
      <c r="AN442" s="1">
        <v>303680.24</v>
      </c>
      <c r="AO442" s="1">
        <v>0</v>
      </c>
      <c r="AP442" s="1">
        <v>303680.24</v>
      </c>
      <c r="AQ442" s="1">
        <v>294913.21999999997</v>
      </c>
      <c r="AR442" s="1">
        <v>0</v>
      </c>
      <c r="AS442" s="1">
        <v>294913.21999999997</v>
      </c>
      <c r="AT442" s="1">
        <v>0</v>
      </c>
      <c r="BA442" s="195"/>
      <c r="BB442" s="195"/>
      <c r="BC442" s="195"/>
      <c r="BD442" s="195"/>
      <c r="BE442" s="195"/>
      <c r="BF442" s="195"/>
      <c r="BG442" s="195"/>
      <c r="BH442" s="195"/>
      <c r="BI442" s="195"/>
    </row>
    <row r="443" spans="1:61" x14ac:dyDescent="0.25">
      <c r="A443" t="s">
        <v>343</v>
      </c>
      <c r="B443" t="s">
        <v>344</v>
      </c>
      <c r="C443" t="s">
        <v>982</v>
      </c>
      <c r="D443" t="s">
        <v>45</v>
      </c>
      <c r="E443" t="s">
        <v>983</v>
      </c>
      <c r="F443" t="s">
        <v>42</v>
      </c>
      <c r="G443" t="s">
        <v>984</v>
      </c>
      <c r="H443" t="s">
        <v>36</v>
      </c>
      <c r="I443" t="s">
        <v>985</v>
      </c>
      <c r="J443" t="s">
        <v>32</v>
      </c>
      <c r="K443" t="s">
        <v>986</v>
      </c>
      <c r="L443" t="s">
        <v>28</v>
      </c>
      <c r="M443" t="s">
        <v>987</v>
      </c>
      <c r="N443" t="s">
        <v>25</v>
      </c>
      <c r="O443" t="s">
        <v>992</v>
      </c>
      <c r="P443" t="s">
        <v>19</v>
      </c>
      <c r="Q443" t="s">
        <v>993</v>
      </c>
      <c r="R443" t="s">
        <v>15</v>
      </c>
      <c r="S443" t="s">
        <v>994</v>
      </c>
      <c r="T443" t="s">
        <v>12</v>
      </c>
      <c r="AG443" t="s">
        <v>761</v>
      </c>
      <c r="AH443" t="s">
        <v>762</v>
      </c>
      <c r="AI443" t="s">
        <v>353</v>
      </c>
      <c r="AJ443" t="s">
        <v>994</v>
      </c>
      <c r="AK443" s="1">
        <v>2230562.02</v>
      </c>
      <c r="AL443" s="1">
        <v>0</v>
      </c>
      <c r="AM443" s="1">
        <v>2230562.02</v>
      </c>
      <c r="AN443" s="1">
        <v>1115281.01</v>
      </c>
      <c r="AO443" s="1">
        <v>0</v>
      </c>
      <c r="AP443" s="1">
        <v>1115281.01</v>
      </c>
      <c r="AQ443" s="1">
        <v>2187998.2400000002</v>
      </c>
      <c r="AR443" s="1">
        <v>0</v>
      </c>
      <c r="AS443" s="1">
        <v>2187998.2400000002</v>
      </c>
      <c r="AT443" s="1">
        <v>0</v>
      </c>
      <c r="BA443" s="195"/>
      <c r="BB443" s="195"/>
      <c r="BC443" s="195"/>
      <c r="BD443" s="195"/>
      <c r="BE443" s="195"/>
      <c r="BF443" s="195"/>
      <c r="BG443" s="195"/>
      <c r="BH443" s="195"/>
      <c r="BI443" s="195"/>
    </row>
    <row r="444" spans="1:61" x14ac:dyDescent="0.25">
      <c r="A444" t="s">
        <v>343</v>
      </c>
      <c r="B444" t="s">
        <v>344</v>
      </c>
      <c r="C444" t="s">
        <v>982</v>
      </c>
      <c r="D444" t="s">
        <v>45</v>
      </c>
      <c r="E444" t="s">
        <v>983</v>
      </c>
      <c r="F444" t="s">
        <v>42</v>
      </c>
      <c r="G444" t="s">
        <v>984</v>
      </c>
      <c r="H444" t="s">
        <v>36</v>
      </c>
      <c r="I444" t="s">
        <v>985</v>
      </c>
      <c r="J444" t="s">
        <v>32</v>
      </c>
      <c r="K444" t="s">
        <v>986</v>
      </c>
      <c r="L444" t="s">
        <v>28</v>
      </c>
      <c r="M444" t="s">
        <v>987</v>
      </c>
      <c r="N444" t="s">
        <v>25</v>
      </c>
      <c r="O444" t="s">
        <v>992</v>
      </c>
      <c r="P444" t="s">
        <v>19</v>
      </c>
      <c r="Q444" t="s">
        <v>993</v>
      </c>
      <c r="R444" t="s">
        <v>15</v>
      </c>
      <c r="S444" t="s">
        <v>994</v>
      </c>
      <c r="T444" t="s">
        <v>12</v>
      </c>
      <c r="AG444" t="s">
        <v>763</v>
      </c>
      <c r="AH444" t="s">
        <v>764</v>
      </c>
      <c r="AI444" t="s">
        <v>353</v>
      </c>
      <c r="AJ444" t="s">
        <v>994</v>
      </c>
      <c r="AK444" s="1">
        <v>11635.2</v>
      </c>
      <c r="AL444" s="1">
        <v>0</v>
      </c>
      <c r="AM444" s="1">
        <v>11635.2</v>
      </c>
      <c r="AN444" s="1">
        <v>5817.6</v>
      </c>
      <c r="AO444" s="1">
        <v>0</v>
      </c>
      <c r="AP444" s="1">
        <v>5817.6</v>
      </c>
      <c r="AQ444" s="1">
        <v>32350</v>
      </c>
      <c r="AR444" s="1">
        <v>0</v>
      </c>
      <c r="AS444" s="1">
        <v>32350</v>
      </c>
      <c r="AT444" s="1">
        <v>0</v>
      </c>
      <c r="BA444" s="195"/>
      <c r="BB444" s="195"/>
      <c r="BC444" s="195"/>
      <c r="BD444" s="195"/>
      <c r="BE444" s="195"/>
      <c r="BF444" s="195"/>
      <c r="BG444" s="195"/>
      <c r="BH444" s="195"/>
      <c r="BI444" s="195"/>
    </row>
    <row r="445" spans="1:61" x14ac:dyDescent="0.25">
      <c r="A445" t="s">
        <v>343</v>
      </c>
      <c r="B445" t="s">
        <v>344</v>
      </c>
      <c r="C445" t="s">
        <v>982</v>
      </c>
      <c r="D445" t="s">
        <v>45</v>
      </c>
      <c r="E445" t="s">
        <v>983</v>
      </c>
      <c r="F445" t="s">
        <v>42</v>
      </c>
      <c r="G445" t="s">
        <v>984</v>
      </c>
      <c r="H445" t="s">
        <v>36</v>
      </c>
      <c r="I445" t="s">
        <v>985</v>
      </c>
      <c r="J445" t="s">
        <v>32</v>
      </c>
      <c r="K445" t="s">
        <v>986</v>
      </c>
      <c r="L445" t="s">
        <v>28</v>
      </c>
      <c r="M445" t="s">
        <v>987</v>
      </c>
      <c r="N445" t="s">
        <v>25</v>
      </c>
      <c r="O445" t="s">
        <v>992</v>
      </c>
      <c r="P445" t="s">
        <v>19</v>
      </c>
      <c r="Q445" t="s">
        <v>993</v>
      </c>
      <c r="R445" t="s">
        <v>15</v>
      </c>
      <c r="S445" t="s">
        <v>994</v>
      </c>
      <c r="T445" t="s">
        <v>12</v>
      </c>
      <c r="AG445" t="s">
        <v>765</v>
      </c>
      <c r="AH445" t="s">
        <v>766</v>
      </c>
      <c r="AI445" t="s">
        <v>353</v>
      </c>
      <c r="AJ445" t="s">
        <v>994</v>
      </c>
      <c r="AK445" s="1">
        <v>198073.96</v>
      </c>
      <c r="AL445" s="1">
        <v>0</v>
      </c>
      <c r="AM445" s="1">
        <v>198073.96</v>
      </c>
      <c r="AN445" s="1">
        <v>99036.98</v>
      </c>
      <c r="AO445" s="1">
        <v>0</v>
      </c>
      <c r="AP445" s="1">
        <v>99036.98</v>
      </c>
      <c r="AQ445" s="1">
        <v>56902.42</v>
      </c>
      <c r="AR445" s="1">
        <v>0</v>
      </c>
      <c r="AS445" s="1">
        <v>56902.42</v>
      </c>
      <c r="AT445" s="1">
        <v>0</v>
      </c>
      <c r="BA445" s="195"/>
      <c r="BB445" s="195"/>
      <c r="BC445" s="195"/>
      <c r="BD445" s="195"/>
      <c r="BE445" s="195"/>
      <c r="BF445" s="195"/>
      <c r="BG445" s="195"/>
      <c r="BH445" s="195"/>
      <c r="BI445" s="195"/>
    </row>
    <row r="446" spans="1:61" x14ac:dyDescent="0.25">
      <c r="A446" t="s">
        <v>343</v>
      </c>
      <c r="B446" t="s">
        <v>344</v>
      </c>
      <c r="C446" t="s">
        <v>982</v>
      </c>
      <c r="D446" t="s">
        <v>45</v>
      </c>
      <c r="E446" t="s">
        <v>983</v>
      </c>
      <c r="F446" t="s">
        <v>42</v>
      </c>
      <c r="G446" t="s">
        <v>984</v>
      </c>
      <c r="H446" t="s">
        <v>36</v>
      </c>
      <c r="I446" t="s">
        <v>985</v>
      </c>
      <c r="J446" t="s">
        <v>32</v>
      </c>
      <c r="K446" t="s">
        <v>986</v>
      </c>
      <c r="L446" t="s">
        <v>28</v>
      </c>
      <c r="M446" t="s">
        <v>987</v>
      </c>
      <c r="N446" t="s">
        <v>25</v>
      </c>
      <c r="O446" t="s">
        <v>992</v>
      </c>
      <c r="P446" t="s">
        <v>19</v>
      </c>
      <c r="Q446" t="s">
        <v>993</v>
      </c>
      <c r="R446" t="s">
        <v>15</v>
      </c>
      <c r="S446" t="s">
        <v>994</v>
      </c>
      <c r="T446" t="s">
        <v>12</v>
      </c>
      <c r="AG446" t="s">
        <v>767</v>
      </c>
      <c r="AH446" t="s">
        <v>768</v>
      </c>
      <c r="AI446" t="s">
        <v>353</v>
      </c>
      <c r="AJ446" t="s">
        <v>994</v>
      </c>
      <c r="AK446" s="1">
        <v>127255.58</v>
      </c>
      <c r="AL446" s="1">
        <v>0</v>
      </c>
      <c r="AM446" s="1">
        <v>127255.58</v>
      </c>
      <c r="AN446" s="1">
        <v>63627.79</v>
      </c>
      <c r="AO446" s="1">
        <v>0</v>
      </c>
      <c r="AP446" s="1">
        <v>63627.79</v>
      </c>
      <c r="AQ446" s="1">
        <v>13315.13</v>
      </c>
      <c r="AR446" s="1">
        <v>0</v>
      </c>
      <c r="AS446" s="1">
        <v>13315.13</v>
      </c>
      <c r="AT446" s="1">
        <v>0</v>
      </c>
      <c r="BA446" s="195"/>
      <c r="BB446" s="195"/>
      <c r="BC446" s="195"/>
      <c r="BD446" s="195"/>
      <c r="BE446" s="195"/>
      <c r="BF446" s="195"/>
      <c r="BG446" s="195"/>
      <c r="BH446" s="195"/>
      <c r="BI446" s="195"/>
    </row>
    <row r="447" spans="1:61" x14ac:dyDescent="0.25">
      <c r="A447" t="s">
        <v>343</v>
      </c>
      <c r="B447" t="s">
        <v>344</v>
      </c>
      <c r="C447" t="s">
        <v>982</v>
      </c>
      <c r="D447" t="s">
        <v>45</v>
      </c>
      <c r="E447" t="s">
        <v>983</v>
      </c>
      <c r="F447" t="s">
        <v>42</v>
      </c>
      <c r="G447" t="s">
        <v>984</v>
      </c>
      <c r="H447" t="s">
        <v>36</v>
      </c>
      <c r="I447" t="s">
        <v>985</v>
      </c>
      <c r="J447" t="s">
        <v>32</v>
      </c>
      <c r="K447" t="s">
        <v>986</v>
      </c>
      <c r="L447" t="s">
        <v>28</v>
      </c>
      <c r="M447" t="s">
        <v>987</v>
      </c>
      <c r="N447" t="s">
        <v>25</v>
      </c>
      <c r="O447" t="s">
        <v>992</v>
      </c>
      <c r="P447" t="s">
        <v>19</v>
      </c>
      <c r="Q447" t="s">
        <v>993</v>
      </c>
      <c r="R447" t="s">
        <v>15</v>
      </c>
      <c r="S447" t="s">
        <v>994</v>
      </c>
      <c r="T447" t="s">
        <v>12</v>
      </c>
      <c r="AG447" t="s">
        <v>769</v>
      </c>
      <c r="AH447" t="s">
        <v>770</v>
      </c>
      <c r="AI447" t="s">
        <v>353</v>
      </c>
      <c r="AJ447" t="s">
        <v>994</v>
      </c>
      <c r="AK447" s="1">
        <v>387777.28000000003</v>
      </c>
      <c r="AL447" s="1">
        <v>0</v>
      </c>
      <c r="AM447" s="1">
        <v>387777.28000000003</v>
      </c>
      <c r="AN447" s="1">
        <v>193888.64000000001</v>
      </c>
      <c r="AO447" s="1">
        <v>0</v>
      </c>
      <c r="AP447" s="1">
        <v>193888.64000000001</v>
      </c>
      <c r="AQ447" s="1">
        <v>131639.43</v>
      </c>
      <c r="AR447" s="1">
        <v>0</v>
      </c>
      <c r="AS447" s="1">
        <v>131639.43</v>
      </c>
      <c r="AT447" s="1">
        <v>0</v>
      </c>
      <c r="BA447" s="195"/>
      <c r="BB447" s="195"/>
      <c r="BC447" s="195"/>
      <c r="BD447" s="195"/>
      <c r="BE447" s="195"/>
      <c r="BF447" s="195"/>
      <c r="BG447" s="195"/>
      <c r="BH447" s="195"/>
      <c r="BI447" s="195"/>
    </row>
    <row r="448" spans="1:61" x14ac:dyDescent="0.25">
      <c r="A448" t="s">
        <v>343</v>
      </c>
      <c r="B448" t="s">
        <v>344</v>
      </c>
      <c r="C448" t="s">
        <v>982</v>
      </c>
      <c r="D448" t="s">
        <v>45</v>
      </c>
      <c r="E448" t="s">
        <v>983</v>
      </c>
      <c r="F448" t="s">
        <v>42</v>
      </c>
      <c r="G448" t="s">
        <v>984</v>
      </c>
      <c r="H448" t="s">
        <v>36</v>
      </c>
      <c r="I448" t="s">
        <v>985</v>
      </c>
      <c r="J448" t="s">
        <v>32</v>
      </c>
      <c r="K448" t="s">
        <v>986</v>
      </c>
      <c r="L448" t="s">
        <v>28</v>
      </c>
      <c r="M448" t="s">
        <v>987</v>
      </c>
      <c r="N448" t="s">
        <v>25</v>
      </c>
      <c r="O448" t="s">
        <v>992</v>
      </c>
      <c r="P448" t="s">
        <v>19</v>
      </c>
      <c r="Q448" t="s">
        <v>993</v>
      </c>
      <c r="R448" t="s">
        <v>15</v>
      </c>
      <c r="S448" t="s">
        <v>994</v>
      </c>
      <c r="T448" t="s">
        <v>12</v>
      </c>
      <c r="AG448" t="s">
        <v>771</v>
      </c>
      <c r="AH448" t="s">
        <v>772</v>
      </c>
      <c r="AI448" t="s">
        <v>353</v>
      </c>
      <c r="AJ448" t="s">
        <v>994</v>
      </c>
      <c r="AK448" s="1">
        <v>603160.38</v>
      </c>
      <c r="AL448" s="1">
        <v>0</v>
      </c>
      <c r="AM448" s="1">
        <v>603160.38</v>
      </c>
      <c r="AN448" s="1">
        <v>301580.19</v>
      </c>
      <c r="AO448" s="1">
        <v>0</v>
      </c>
      <c r="AP448" s="1">
        <v>301580.19</v>
      </c>
      <c r="AQ448" s="1">
        <v>258796.34</v>
      </c>
      <c r="AR448" s="1">
        <v>0</v>
      </c>
      <c r="AS448" s="1">
        <v>258796.34</v>
      </c>
      <c r="AT448" s="1">
        <v>0</v>
      </c>
      <c r="BA448" s="195"/>
      <c r="BB448" s="195"/>
      <c r="BC448" s="195"/>
      <c r="BD448" s="195"/>
      <c r="BE448" s="195"/>
      <c r="BF448" s="195"/>
      <c r="BG448" s="195"/>
      <c r="BH448" s="195"/>
      <c r="BI448" s="195"/>
    </row>
    <row r="449" spans="1:61" x14ac:dyDescent="0.25">
      <c r="A449" t="s">
        <v>343</v>
      </c>
      <c r="B449" t="s">
        <v>344</v>
      </c>
      <c r="C449" t="s">
        <v>982</v>
      </c>
      <c r="D449" t="s">
        <v>45</v>
      </c>
      <c r="E449" t="s">
        <v>983</v>
      </c>
      <c r="F449" t="s">
        <v>42</v>
      </c>
      <c r="G449" t="s">
        <v>984</v>
      </c>
      <c r="H449" t="s">
        <v>36</v>
      </c>
      <c r="I449" t="s">
        <v>985</v>
      </c>
      <c r="J449" t="s">
        <v>32</v>
      </c>
      <c r="K449" t="s">
        <v>986</v>
      </c>
      <c r="L449" t="s">
        <v>28</v>
      </c>
      <c r="M449" t="s">
        <v>987</v>
      </c>
      <c r="N449" t="s">
        <v>25</v>
      </c>
      <c r="O449" t="s">
        <v>992</v>
      </c>
      <c r="P449" t="s">
        <v>19</v>
      </c>
      <c r="Q449" t="s">
        <v>993</v>
      </c>
      <c r="R449" t="s">
        <v>15</v>
      </c>
      <c r="S449" t="s">
        <v>994</v>
      </c>
      <c r="T449" t="s">
        <v>12</v>
      </c>
      <c r="AG449" t="s">
        <v>773</v>
      </c>
      <c r="AH449" t="s">
        <v>774</v>
      </c>
      <c r="AI449" t="s">
        <v>353</v>
      </c>
      <c r="AJ449" t="s">
        <v>994</v>
      </c>
      <c r="AK449" s="1">
        <v>35918.54</v>
      </c>
      <c r="AL449" s="1">
        <v>0</v>
      </c>
      <c r="AM449" s="1">
        <v>35918.54</v>
      </c>
      <c r="AN449" s="1">
        <v>17959.27</v>
      </c>
      <c r="AO449" s="1">
        <v>0</v>
      </c>
      <c r="AP449" s="1">
        <v>17959.27</v>
      </c>
      <c r="AQ449" s="1">
        <v>16110.25</v>
      </c>
      <c r="AR449" s="1">
        <v>0</v>
      </c>
      <c r="AS449" s="1">
        <v>16110.25</v>
      </c>
      <c r="AT449" s="1">
        <v>0</v>
      </c>
      <c r="BA449" s="195"/>
      <c r="BB449" s="195"/>
      <c r="BC449" s="195"/>
      <c r="BD449" s="195"/>
      <c r="BE449" s="195"/>
      <c r="BF449" s="195"/>
      <c r="BG449" s="195"/>
      <c r="BH449" s="195"/>
      <c r="BI449" s="195"/>
    </row>
    <row r="450" spans="1:61" x14ac:dyDescent="0.25">
      <c r="A450" t="s">
        <v>343</v>
      </c>
      <c r="B450" t="s">
        <v>344</v>
      </c>
      <c r="C450" t="s">
        <v>982</v>
      </c>
      <c r="D450" t="s">
        <v>45</v>
      </c>
      <c r="E450" t="s">
        <v>983</v>
      </c>
      <c r="F450" t="s">
        <v>42</v>
      </c>
      <c r="G450" t="s">
        <v>984</v>
      </c>
      <c r="H450" t="s">
        <v>36</v>
      </c>
      <c r="I450" t="s">
        <v>985</v>
      </c>
      <c r="J450" t="s">
        <v>32</v>
      </c>
      <c r="K450" t="s">
        <v>986</v>
      </c>
      <c r="L450" t="s">
        <v>28</v>
      </c>
      <c r="M450" t="s">
        <v>987</v>
      </c>
      <c r="N450" t="s">
        <v>25</v>
      </c>
      <c r="O450" t="s">
        <v>992</v>
      </c>
      <c r="P450" t="s">
        <v>19</v>
      </c>
      <c r="Q450" t="s">
        <v>993</v>
      </c>
      <c r="R450" t="s">
        <v>15</v>
      </c>
      <c r="S450" t="s">
        <v>994</v>
      </c>
      <c r="T450" t="s">
        <v>12</v>
      </c>
      <c r="AG450" t="s">
        <v>775</v>
      </c>
      <c r="AH450" t="s">
        <v>776</v>
      </c>
      <c r="AI450" t="s">
        <v>353</v>
      </c>
      <c r="AJ450" t="s">
        <v>994</v>
      </c>
      <c r="AK450" s="1">
        <v>1337.04</v>
      </c>
      <c r="AL450" s="1">
        <v>0</v>
      </c>
      <c r="AM450" s="1">
        <v>1337.04</v>
      </c>
      <c r="AN450" s="1">
        <v>668.52</v>
      </c>
      <c r="AO450" s="1">
        <v>0</v>
      </c>
      <c r="AP450" s="1">
        <v>668.52</v>
      </c>
      <c r="AQ450" s="1">
        <v>662.04</v>
      </c>
      <c r="AR450" s="1">
        <v>0</v>
      </c>
      <c r="AS450" s="1">
        <v>662.04</v>
      </c>
      <c r="AT450" s="1">
        <v>0</v>
      </c>
      <c r="BA450" s="195"/>
      <c r="BB450" s="195"/>
      <c r="BC450" s="195"/>
      <c r="BD450" s="195"/>
      <c r="BE450" s="195"/>
      <c r="BF450" s="195"/>
      <c r="BG450" s="195"/>
      <c r="BH450" s="195"/>
      <c r="BI450" s="195"/>
    </row>
    <row r="451" spans="1:61" x14ac:dyDescent="0.25">
      <c r="A451" t="s">
        <v>343</v>
      </c>
      <c r="B451" t="s">
        <v>344</v>
      </c>
      <c r="C451" t="s">
        <v>982</v>
      </c>
      <c r="D451" t="s">
        <v>45</v>
      </c>
      <c r="E451" t="s">
        <v>983</v>
      </c>
      <c r="F451" t="s">
        <v>42</v>
      </c>
      <c r="G451" t="s">
        <v>984</v>
      </c>
      <c r="H451" t="s">
        <v>36</v>
      </c>
      <c r="I451" t="s">
        <v>985</v>
      </c>
      <c r="J451" t="s">
        <v>32</v>
      </c>
      <c r="K451" t="s">
        <v>986</v>
      </c>
      <c r="L451" t="s">
        <v>28</v>
      </c>
      <c r="M451" t="s">
        <v>987</v>
      </c>
      <c r="N451" t="s">
        <v>25</v>
      </c>
      <c r="O451" t="s">
        <v>992</v>
      </c>
      <c r="P451" t="s">
        <v>19</v>
      </c>
      <c r="Q451" t="s">
        <v>993</v>
      </c>
      <c r="R451" t="s">
        <v>15</v>
      </c>
      <c r="S451" t="s">
        <v>994</v>
      </c>
      <c r="T451" t="s">
        <v>12</v>
      </c>
      <c r="AG451" t="s">
        <v>777</v>
      </c>
      <c r="AH451" t="s">
        <v>778</v>
      </c>
      <c r="AI451" t="s">
        <v>353</v>
      </c>
      <c r="AJ451" t="s">
        <v>994</v>
      </c>
      <c r="AK451" s="1">
        <v>4011.12</v>
      </c>
      <c r="AL451" s="1">
        <v>0</v>
      </c>
      <c r="AM451" s="1">
        <v>4011.12</v>
      </c>
      <c r="AN451" s="1">
        <v>2005.56</v>
      </c>
      <c r="AO451" s="1">
        <v>0</v>
      </c>
      <c r="AP451" s="1">
        <v>2005.56</v>
      </c>
      <c r="AQ451" s="1">
        <v>1986.12</v>
      </c>
      <c r="AR451" s="1">
        <v>0</v>
      </c>
      <c r="AS451" s="1">
        <v>1986.12</v>
      </c>
      <c r="AT451" s="1">
        <v>0</v>
      </c>
      <c r="BA451" s="195"/>
      <c r="BB451" s="195"/>
      <c r="BC451" s="195"/>
      <c r="BD451" s="195"/>
      <c r="BE451" s="195"/>
      <c r="BF451" s="195"/>
      <c r="BG451" s="195"/>
      <c r="BH451" s="195"/>
      <c r="BI451" s="195"/>
    </row>
    <row r="452" spans="1:61" x14ac:dyDescent="0.25">
      <c r="A452" t="s">
        <v>343</v>
      </c>
      <c r="B452" t="s">
        <v>344</v>
      </c>
      <c r="C452" t="s">
        <v>982</v>
      </c>
      <c r="D452" t="s">
        <v>45</v>
      </c>
      <c r="E452" t="s">
        <v>983</v>
      </c>
      <c r="F452" t="s">
        <v>42</v>
      </c>
      <c r="G452" t="s">
        <v>984</v>
      </c>
      <c r="H452" t="s">
        <v>36</v>
      </c>
      <c r="I452" t="s">
        <v>985</v>
      </c>
      <c r="J452" t="s">
        <v>32</v>
      </c>
      <c r="K452" t="s">
        <v>986</v>
      </c>
      <c r="L452" t="s">
        <v>28</v>
      </c>
      <c r="M452" t="s">
        <v>987</v>
      </c>
      <c r="N452" t="s">
        <v>25</v>
      </c>
      <c r="O452" t="s">
        <v>992</v>
      </c>
      <c r="P452" t="s">
        <v>19</v>
      </c>
      <c r="Q452" t="s">
        <v>993</v>
      </c>
      <c r="R452" t="s">
        <v>15</v>
      </c>
      <c r="S452" t="s">
        <v>994</v>
      </c>
      <c r="T452" t="s">
        <v>12</v>
      </c>
      <c r="AG452" t="s">
        <v>779</v>
      </c>
      <c r="AH452" t="s">
        <v>780</v>
      </c>
      <c r="AI452" t="s">
        <v>353</v>
      </c>
      <c r="AJ452" t="s">
        <v>994</v>
      </c>
      <c r="AK452" s="1">
        <v>239287.72</v>
      </c>
      <c r="AL452" s="1">
        <v>0</v>
      </c>
      <c r="AM452" s="1">
        <v>239287.72</v>
      </c>
      <c r="AN452" s="1">
        <v>119643.86</v>
      </c>
      <c r="AO452" s="1">
        <v>0</v>
      </c>
      <c r="AP452" s="1">
        <v>119643.86</v>
      </c>
      <c r="AQ452" s="1">
        <v>66460.73</v>
      </c>
      <c r="AR452" s="1">
        <v>0</v>
      </c>
      <c r="AS452" s="1">
        <v>66460.73</v>
      </c>
      <c r="AT452" s="1">
        <v>0</v>
      </c>
      <c r="BA452" s="195"/>
      <c r="BB452" s="195"/>
      <c r="BC452" s="195"/>
      <c r="BD452" s="195"/>
      <c r="BE452" s="195"/>
      <c r="BF452" s="195"/>
      <c r="BG452" s="195"/>
      <c r="BH452" s="195"/>
      <c r="BI452" s="195"/>
    </row>
    <row r="453" spans="1:61" x14ac:dyDescent="0.25">
      <c r="A453" t="s">
        <v>343</v>
      </c>
      <c r="B453" t="s">
        <v>344</v>
      </c>
      <c r="C453" t="s">
        <v>982</v>
      </c>
      <c r="D453" t="s">
        <v>45</v>
      </c>
      <c r="E453" t="s">
        <v>983</v>
      </c>
      <c r="F453" t="s">
        <v>42</v>
      </c>
      <c r="G453" t="s">
        <v>984</v>
      </c>
      <c r="H453" t="s">
        <v>36</v>
      </c>
      <c r="I453" t="s">
        <v>985</v>
      </c>
      <c r="J453" t="s">
        <v>32</v>
      </c>
      <c r="K453" t="s">
        <v>986</v>
      </c>
      <c r="L453" t="s">
        <v>28</v>
      </c>
      <c r="M453" t="s">
        <v>987</v>
      </c>
      <c r="N453" t="s">
        <v>25</v>
      </c>
      <c r="O453" t="s">
        <v>992</v>
      </c>
      <c r="P453" t="s">
        <v>19</v>
      </c>
      <c r="Q453" t="s">
        <v>993</v>
      </c>
      <c r="R453" t="s">
        <v>15</v>
      </c>
      <c r="S453" t="s">
        <v>994</v>
      </c>
      <c r="T453" t="s">
        <v>12</v>
      </c>
      <c r="AG453" t="s">
        <v>781</v>
      </c>
      <c r="AH453" t="s">
        <v>782</v>
      </c>
      <c r="AI453" t="s">
        <v>353</v>
      </c>
      <c r="AJ453" t="s">
        <v>994</v>
      </c>
      <c r="AK453" s="1">
        <v>51481.38</v>
      </c>
      <c r="AL453" s="1">
        <v>0</v>
      </c>
      <c r="AM453" s="1">
        <v>51481.38</v>
      </c>
      <c r="AN453" s="1">
        <v>25740.69</v>
      </c>
      <c r="AO453" s="1">
        <v>0</v>
      </c>
      <c r="AP453" s="1">
        <v>25740.69</v>
      </c>
      <c r="AQ453" s="1">
        <v>14143.74</v>
      </c>
      <c r="AR453" s="1">
        <v>0</v>
      </c>
      <c r="AS453" s="1">
        <v>14143.74</v>
      </c>
      <c r="AT453" s="1">
        <v>0</v>
      </c>
      <c r="BA453" s="195"/>
      <c r="BB453" s="195"/>
      <c r="BC453" s="195"/>
      <c r="BD453" s="195"/>
      <c r="BE453" s="195"/>
      <c r="BF453" s="195"/>
      <c r="BG453" s="195"/>
      <c r="BH453" s="195"/>
      <c r="BI453" s="195"/>
    </row>
    <row r="454" spans="1:61" x14ac:dyDescent="0.25">
      <c r="A454" t="s">
        <v>343</v>
      </c>
      <c r="B454" t="s">
        <v>344</v>
      </c>
      <c r="C454" t="s">
        <v>982</v>
      </c>
      <c r="D454" t="s">
        <v>45</v>
      </c>
      <c r="E454" t="s">
        <v>983</v>
      </c>
      <c r="F454" t="s">
        <v>42</v>
      </c>
      <c r="G454" t="s">
        <v>984</v>
      </c>
      <c r="H454" t="s">
        <v>36</v>
      </c>
      <c r="I454" t="s">
        <v>985</v>
      </c>
      <c r="J454" t="s">
        <v>32</v>
      </c>
      <c r="K454" t="s">
        <v>986</v>
      </c>
      <c r="L454" t="s">
        <v>28</v>
      </c>
      <c r="M454" t="s">
        <v>987</v>
      </c>
      <c r="N454" t="s">
        <v>25</v>
      </c>
      <c r="O454" t="s">
        <v>992</v>
      </c>
      <c r="P454" t="s">
        <v>19</v>
      </c>
      <c r="Q454" t="s">
        <v>993</v>
      </c>
      <c r="R454" t="s">
        <v>15</v>
      </c>
      <c r="S454" t="s">
        <v>995</v>
      </c>
      <c r="T454" t="s">
        <v>13</v>
      </c>
      <c r="AG454" t="s">
        <v>789</v>
      </c>
      <c r="AH454" t="s">
        <v>790</v>
      </c>
      <c r="AI454" t="s">
        <v>353</v>
      </c>
      <c r="AJ454" t="s">
        <v>995</v>
      </c>
      <c r="AK454" s="1">
        <v>3980.7</v>
      </c>
      <c r="AL454" s="1">
        <v>0</v>
      </c>
      <c r="AM454" s="1">
        <v>3980.7</v>
      </c>
      <c r="AN454" s="1">
        <v>1990.35</v>
      </c>
      <c r="AO454" s="1">
        <v>0</v>
      </c>
      <c r="AP454" s="1">
        <v>1990.35</v>
      </c>
      <c r="AQ454" s="1">
        <v>11153.3</v>
      </c>
      <c r="AR454" s="1">
        <v>0</v>
      </c>
      <c r="AS454" s="1">
        <v>11153.3</v>
      </c>
      <c r="AT454" s="1">
        <v>0</v>
      </c>
      <c r="BA454" s="195"/>
      <c r="BB454" s="195"/>
      <c r="BC454" s="195"/>
      <c r="BD454" s="195"/>
      <c r="BE454" s="195"/>
      <c r="BF454" s="195"/>
      <c r="BG454" s="195"/>
      <c r="BH454" s="195"/>
      <c r="BI454" s="195"/>
    </row>
    <row r="455" spans="1:61" x14ac:dyDescent="0.25">
      <c r="A455" t="s">
        <v>343</v>
      </c>
      <c r="B455" t="s">
        <v>344</v>
      </c>
      <c r="C455" t="s">
        <v>982</v>
      </c>
      <c r="D455" t="s">
        <v>45</v>
      </c>
      <c r="E455" t="s">
        <v>983</v>
      </c>
      <c r="F455" t="s">
        <v>42</v>
      </c>
      <c r="G455" t="s">
        <v>984</v>
      </c>
      <c r="H455" t="s">
        <v>36</v>
      </c>
      <c r="I455" t="s">
        <v>985</v>
      </c>
      <c r="J455" t="s">
        <v>32</v>
      </c>
      <c r="K455" t="s">
        <v>986</v>
      </c>
      <c r="L455" t="s">
        <v>28</v>
      </c>
      <c r="M455" t="s">
        <v>987</v>
      </c>
      <c r="N455" t="s">
        <v>25</v>
      </c>
      <c r="O455" t="s">
        <v>992</v>
      </c>
      <c r="P455" t="s">
        <v>19</v>
      </c>
      <c r="Q455" t="s">
        <v>996</v>
      </c>
      <c r="R455" t="s">
        <v>16</v>
      </c>
      <c r="AG455" t="s">
        <v>791</v>
      </c>
      <c r="AH455" t="s">
        <v>792</v>
      </c>
      <c r="AI455" t="s">
        <v>353</v>
      </c>
      <c r="AJ455" t="s">
        <v>996</v>
      </c>
      <c r="AK455" s="1">
        <v>19448</v>
      </c>
      <c r="AL455" s="1">
        <v>0</v>
      </c>
      <c r="AM455" s="1">
        <v>19448</v>
      </c>
      <c r="AN455" s="1">
        <v>9724</v>
      </c>
      <c r="AO455" s="1">
        <v>0</v>
      </c>
      <c r="AP455" s="1">
        <v>9724</v>
      </c>
      <c r="AQ455" s="1">
        <v>-283</v>
      </c>
      <c r="AR455" s="1">
        <v>0</v>
      </c>
      <c r="AS455" s="1">
        <v>-283</v>
      </c>
      <c r="AT455" s="1">
        <v>0</v>
      </c>
      <c r="BA455" s="195"/>
      <c r="BB455" s="195"/>
      <c r="BC455" s="195"/>
      <c r="BD455" s="195"/>
      <c r="BE455" s="195"/>
      <c r="BF455" s="195"/>
      <c r="BG455" s="195"/>
      <c r="BH455" s="195"/>
      <c r="BI455" s="195"/>
    </row>
    <row r="456" spans="1:61" x14ac:dyDescent="0.25">
      <c r="A456" t="s">
        <v>343</v>
      </c>
      <c r="B456" t="s">
        <v>344</v>
      </c>
      <c r="C456" t="s">
        <v>982</v>
      </c>
      <c r="D456" t="s">
        <v>45</v>
      </c>
      <c r="E456" t="s">
        <v>983</v>
      </c>
      <c r="F456" t="s">
        <v>42</v>
      </c>
      <c r="G456" t="s">
        <v>984</v>
      </c>
      <c r="H456" t="s">
        <v>36</v>
      </c>
      <c r="I456" t="s">
        <v>985</v>
      </c>
      <c r="J456" t="s">
        <v>32</v>
      </c>
      <c r="K456" t="s">
        <v>986</v>
      </c>
      <c r="L456" t="s">
        <v>28</v>
      </c>
      <c r="M456" t="s">
        <v>987</v>
      </c>
      <c r="N456" t="s">
        <v>25</v>
      </c>
      <c r="O456" t="s">
        <v>997</v>
      </c>
      <c r="P456" t="s">
        <v>20</v>
      </c>
      <c r="AG456" t="s">
        <v>512</v>
      </c>
      <c r="AH456" t="s">
        <v>513</v>
      </c>
      <c r="AI456" t="s">
        <v>353</v>
      </c>
      <c r="AJ456" t="s">
        <v>997</v>
      </c>
      <c r="AK456" s="1">
        <v>-72710</v>
      </c>
      <c r="AL456" s="1">
        <v>0</v>
      </c>
      <c r="AM456" s="1">
        <v>-72710</v>
      </c>
      <c r="AN456" s="1">
        <v>-36355</v>
      </c>
      <c r="AO456" s="1">
        <v>0</v>
      </c>
      <c r="AP456" s="1">
        <v>-36355</v>
      </c>
      <c r="AQ456" s="1">
        <v>-133914.34</v>
      </c>
      <c r="AR456" s="1">
        <v>0</v>
      </c>
      <c r="AS456" s="1">
        <v>-133914.34</v>
      </c>
      <c r="AT456" s="1">
        <v>0</v>
      </c>
      <c r="BA456" s="195"/>
      <c r="BB456" s="195"/>
      <c r="BC456" s="195"/>
      <c r="BD456" s="195"/>
      <c r="BE456" s="195"/>
      <c r="BF456" s="195"/>
      <c r="BG456" s="195"/>
      <c r="BH456" s="195"/>
      <c r="BI456" s="195"/>
    </row>
    <row r="457" spans="1:61" x14ac:dyDescent="0.25">
      <c r="A457" t="s">
        <v>343</v>
      </c>
      <c r="B457" t="s">
        <v>344</v>
      </c>
      <c r="C457" t="s">
        <v>982</v>
      </c>
      <c r="D457" t="s">
        <v>45</v>
      </c>
      <c r="E457" t="s">
        <v>983</v>
      </c>
      <c r="F457" t="s">
        <v>42</v>
      </c>
      <c r="G457" t="s">
        <v>984</v>
      </c>
      <c r="H457" t="s">
        <v>36</v>
      </c>
      <c r="I457" t="s">
        <v>985</v>
      </c>
      <c r="J457" t="s">
        <v>32</v>
      </c>
      <c r="K457" t="s">
        <v>986</v>
      </c>
      <c r="L457" t="s">
        <v>28</v>
      </c>
      <c r="M457" t="s">
        <v>987</v>
      </c>
      <c r="N457" t="s">
        <v>25</v>
      </c>
      <c r="O457" t="s">
        <v>997</v>
      </c>
      <c r="P457" t="s">
        <v>20</v>
      </c>
      <c r="AG457" t="s">
        <v>514</v>
      </c>
      <c r="AH457" t="s">
        <v>515</v>
      </c>
      <c r="AI457" t="s">
        <v>353</v>
      </c>
      <c r="AJ457" t="s">
        <v>997</v>
      </c>
      <c r="AK457" s="1">
        <v>-6789.34</v>
      </c>
      <c r="AL457" s="1">
        <v>0</v>
      </c>
      <c r="AM457" s="1">
        <v>-6789.34</v>
      </c>
      <c r="AN457" s="1">
        <v>-3394.67</v>
      </c>
      <c r="AO457" s="1">
        <v>0</v>
      </c>
      <c r="AP457" s="1">
        <v>-3394.67</v>
      </c>
      <c r="AQ457" s="1">
        <v>-10788.15</v>
      </c>
      <c r="AR457" s="1">
        <v>0</v>
      </c>
      <c r="AS457" s="1">
        <v>-10788.15</v>
      </c>
      <c r="AT457" s="1">
        <v>0</v>
      </c>
      <c r="BA457" s="195"/>
      <c r="BB457" s="195"/>
      <c r="BC457" s="195"/>
      <c r="BD457" s="195"/>
      <c r="BE457" s="195"/>
      <c r="BF457" s="195"/>
      <c r="BG457" s="195"/>
      <c r="BH457" s="195"/>
      <c r="BI457" s="195"/>
    </row>
    <row r="458" spans="1:61" x14ac:dyDescent="0.25">
      <c r="A458" t="s">
        <v>343</v>
      </c>
      <c r="B458" t="s">
        <v>344</v>
      </c>
      <c r="C458" t="s">
        <v>982</v>
      </c>
      <c r="D458" t="s">
        <v>45</v>
      </c>
      <c r="E458" t="s">
        <v>983</v>
      </c>
      <c r="F458" t="s">
        <v>42</v>
      </c>
      <c r="G458" t="s">
        <v>984</v>
      </c>
      <c r="H458" t="s">
        <v>36</v>
      </c>
      <c r="I458" t="s">
        <v>985</v>
      </c>
      <c r="J458" t="s">
        <v>32</v>
      </c>
      <c r="K458" t="s">
        <v>986</v>
      </c>
      <c r="L458" t="s">
        <v>28</v>
      </c>
      <c r="M458" t="s">
        <v>987</v>
      </c>
      <c r="N458" t="s">
        <v>25</v>
      </c>
      <c r="O458" t="s">
        <v>997</v>
      </c>
      <c r="P458" t="s">
        <v>20</v>
      </c>
      <c r="AG458" t="s">
        <v>516</v>
      </c>
      <c r="AH458" t="s">
        <v>517</v>
      </c>
      <c r="AI458" t="s">
        <v>353</v>
      </c>
      <c r="AJ458" t="s">
        <v>997</v>
      </c>
      <c r="AK458" s="1">
        <v>-180000</v>
      </c>
      <c r="AL458" s="1">
        <v>0</v>
      </c>
      <c r="AM458" s="1">
        <v>-180000</v>
      </c>
      <c r="AN458" s="1">
        <v>-82617.710000000006</v>
      </c>
      <c r="AO458" s="1">
        <v>0</v>
      </c>
      <c r="AP458" s="1">
        <v>-82617.710000000006</v>
      </c>
      <c r="AQ458" s="1">
        <v>-100386.55</v>
      </c>
      <c r="AR458" s="1">
        <v>0</v>
      </c>
      <c r="AS458" s="1">
        <v>-100386.55</v>
      </c>
      <c r="AT458" s="1">
        <v>0</v>
      </c>
      <c r="BA458" s="195"/>
      <c r="BB458" s="195"/>
      <c r="BC458" s="195"/>
      <c r="BD458" s="195"/>
      <c r="BE458" s="195"/>
      <c r="BF458" s="195"/>
      <c r="BG458" s="195"/>
      <c r="BH458" s="195"/>
      <c r="BI458" s="195"/>
    </row>
    <row r="459" spans="1:61" x14ac:dyDescent="0.25">
      <c r="A459" t="s">
        <v>343</v>
      </c>
      <c r="B459" t="s">
        <v>344</v>
      </c>
      <c r="C459" t="s">
        <v>982</v>
      </c>
      <c r="D459" t="s">
        <v>45</v>
      </c>
      <c r="E459" t="s">
        <v>983</v>
      </c>
      <c r="F459" t="s">
        <v>42</v>
      </c>
      <c r="G459" t="s">
        <v>984</v>
      </c>
      <c r="H459" t="s">
        <v>36</v>
      </c>
      <c r="I459" t="s">
        <v>985</v>
      </c>
      <c r="J459" t="s">
        <v>32</v>
      </c>
      <c r="K459" t="s">
        <v>986</v>
      </c>
      <c r="L459" t="s">
        <v>28</v>
      </c>
      <c r="M459" t="s">
        <v>987</v>
      </c>
      <c r="N459" t="s">
        <v>25</v>
      </c>
      <c r="O459" t="s">
        <v>997</v>
      </c>
      <c r="P459" t="s">
        <v>20</v>
      </c>
      <c r="AG459" t="s">
        <v>518</v>
      </c>
      <c r="AH459" t="s">
        <v>519</v>
      </c>
      <c r="AI459" t="s">
        <v>353</v>
      </c>
      <c r="AJ459" t="s">
        <v>997</v>
      </c>
      <c r="AK459" s="1">
        <v>-21958.02</v>
      </c>
      <c r="AL459" s="1">
        <v>0</v>
      </c>
      <c r="AM459" s="1">
        <v>-21958.02</v>
      </c>
      <c r="AN459" s="1">
        <v>-10979.01</v>
      </c>
      <c r="AO459" s="1">
        <v>0</v>
      </c>
      <c r="AP459" s="1">
        <v>-10979.01</v>
      </c>
      <c r="AQ459" s="1">
        <v>-10717.21</v>
      </c>
      <c r="AR459" s="1">
        <v>0</v>
      </c>
      <c r="AS459" s="1">
        <v>-10717.21</v>
      </c>
      <c r="AT459" s="1">
        <v>0</v>
      </c>
      <c r="BA459" s="195"/>
      <c r="BB459" s="195"/>
      <c r="BC459" s="195"/>
      <c r="BD459" s="195"/>
      <c r="BE459" s="195"/>
      <c r="BF459" s="195"/>
      <c r="BG459" s="195"/>
      <c r="BH459" s="195"/>
      <c r="BI459" s="195"/>
    </row>
    <row r="460" spans="1:61" x14ac:dyDescent="0.25">
      <c r="A460" t="s">
        <v>343</v>
      </c>
      <c r="B460" t="s">
        <v>344</v>
      </c>
      <c r="C460" t="s">
        <v>982</v>
      </c>
      <c r="D460" t="s">
        <v>45</v>
      </c>
      <c r="E460" t="s">
        <v>983</v>
      </c>
      <c r="F460" t="s">
        <v>42</v>
      </c>
      <c r="G460" t="s">
        <v>984</v>
      </c>
      <c r="H460" t="s">
        <v>36</v>
      </c>
      <c r="I460" t="s">
        <v>985</v>
      </c>
      <c r="J460" t="s">
        <v>32</v>
      </c>
      <c r="K460" t="s">
        <v>986</v>
      </c>
      <c r="L460" t="s">
        <v>28</v>
      </c>
      <c r="M460" t="s">
        <v>987</v>
      </c>
      <c r="N460" t="s">
        <v>25</v>
      </c>
      <c r="O460" t="s">
        <v>997</v>
      </c>
      <c r="P460" t="s">
        <v>20</v>
      </c>
      <c r="AG460" t="s">
        <v>520</v>
      </c>
      <c r="AH460" t="s">
        <v>521</v>
      </c>
      <c r="AI460" t="s">
        <v>353</v>
      </c>
      <c r="AJ460" t="s">
        <v>997</v>
      </c>
      <c r="AK460" s="1">
        <v>-22960</v>
      </c>
      <c r="AL460" s="1">
        <v>0</v>
      </c>
      <c r="AM460" s="1">
        <v>-22960</v>
      </c>
      <c r="AN460" s="1">
        <v>-11480</v>
      </c>
      <c r="AO460" s="1">
        <v>0</v>
      </c>
      <c r="AP460" s="1">
        <v>-11480</v>
      </c>
      <c r="AQ460" s="1">
        <v>-375</v>
      </c>
      <c r="AR460" s="1">
        <v>0</v>
      </c>
      <c r="AS460" s="1">
        <v>-375</v>
      </c>
      <c r="AT460" s="1">
        <v>0</v>
      </c>
      <c r="BA460" s="195"/>
      <c r="BB460" s="195"/>
      <c r="BC460" s="195"/>
      <c r="BD460" s="195"/>
      <c r="BE460" s="195"/>
      <c r="BF460" s="195"/>
      <c r="BG460" s="195"/>
      <c r="BH460" s="195"/>
      <c r="BI460" s="195"/>
    </row>
    <row r="461" spans="1:61" x14ac:dyDescent="0.25">
      <c r="A461" t="s">
        <v>343</v>
      </c>
      <c r="B461" t="s">
        <v>344</v>
      </c>
      <c r="C461" t="s">
        <v>982</v>
      </c>
      <c r="D461" t="s">
        <v>45</v>
      </c>
      <c r="E461" t="s">
        <v>983</v>
      </c>
      <c r="F461" t="s">
        <v>42</v>
      </c>
      <c r="G461" t="s">
        <v>984</v>
      </c>
      <c r="H461" t="s">
        <v>36</v>
      </c>
      <c r="I461" t="s">
        <v>985</v>
      </c>
      <c r="J461" t="s">
        <v>32</v>
      </c>
      <c r="K461" t="s">
        <v>986</v>
      </c>
      <c r="L461" t="s">
        <v>28</v>
      </c>
      <c r="M461" t="s">
        <v>987</v>
      </c>
      <c r="N461" t="s">
        <v>25</v>
      </c>
      <c r="O461" t="s">
        <v>997</v>
      </c>
      <c r="P461" t="s">
        <v>20</v>
      </c>
      <c r="AG461" t="s">
        <v>522</v>
      </c>
      <c r="AH461" t="s">
        <v>523</v>
      </c>
      <c r="AI461" t="s">
        <v>353</v>
      </c>
      <c r="AJ461" t="s">
        <v>997</v>
      </c>
      <c r="AK461" s="1">
        <v>-43823.519999999997</v>
      </c>
      <c r="AL461" s="1">
        <v>0</v>
      </c>
      <c r="AM461" s="1">
        <v>-43823.519999999997</v>
      </c>
      <c r="AN461" s="1">
        <v>-21911.759999999998</v>
      </c>
      <c r="AO461" s="1">
        <v>0</v>
      </c>
      <c r="AP461" s="1">
        <v>-21911.759999999998</v>
      </c>
      <c r="AQ461" s="1">
        <v>-20483.95</v>
      </c>
      <c r="AR461" s="1">
        <v>0</v>
      </c>
      <c r="AS461" s="1">
        <v>-20483.95</v>
      </c>
      <c r="AT461" s="1">
        <v>0</v>
      </c>
      <c r="BA461" s="195"/>
      <c r="BB461" s="195"/>
      <c r="BC461" s="195"/>
      <c r="BD461" s="195"/>
      <c r="BE461" s="195"/>
      <c r="BF461" s="195"/>
      <c r="BG461" s="195"/>
      <c r="BH461" s="195"/>
      <c r="BI461" s="195"/>
    </row>
    <row r="462" spans="1:61" x14ac:dyDescent="0.25">
      <c r="A462" t="s">
        <v>343</v>
      </c>
      <c r="B462" t="s">
        <v>344</v>
      </c>
      <c r="C462" t="s">
        <v>982</v>
      </c>
      <c r="D462" t="s">
        <v>45</v>
      </c>
      <c r="E462" t="s">
        <v>983</v>
      </c>
      <c r="F462" t="s">
        <v>42</v>
      </c>
      <c r="G462" t="s">
        <v>984</v>
      </c>
      <c r="H462" t="s">
        <v>36</v>
      </c>
      <c r="I462" t="s">
        <v>985</v>
      </c>
      <c r="J462" t="s">
        <v>32</v>
      </c>
      <c r="K462" t="s">
        <v>986</v>
      </c>
      <c r="L462" t="s">
        <v>28</v>
      </c>
      <c r="M462" t="s">
        <v>987</v>
      </c>
      <c r="N462" t="s">
        <v>25</v>
      </c>
      <c r="O462" t="s">
        <v>997</v>
      </c>
      <c r="P462" t="s">
        <v>20</v>
      </c>
      <c r="AG462" t="s">
        <v>524</v>
      </c>
      <c r="AH462" t="s">
        <v>525</v>
      </c>
      <c r="AI462" t="s">
        <v>353</v>
      </c>
      <c r="AJ462" t="s">
        <v>997</v>
      </c>
      <c r="AK462" s="1">
        <v>-10430.18</v>
      </c>
      <c r="AL462" s="1">
        <v>0</v>
      </c>
      <c r="AM462" s="1">
        <v>-10430.18</v>
      </c>
      <c r="AN462" s="1">
        <v>-5215.09</v>
      </c>
      <c r="AO462" s="1">
        <v>0</v>
      </c>
      <c r="AP462" s="1">
        <v>-5215.09</v>
      </c>
      <c r="AQ462" s="1">
        <v>-4942.6099999999997</v>
      </c>
      <c r="AR462" s="1">
        <v>0</v>
      </c>
      <c r="AS462" s="1">
        <v>-4942.6099999999997</v>
      </c>
      <c r="AT462" s="1">
        <v>0</v>
      </c>
      <c r="BA462" s="195"/>
      <c r="BB462" s="195"/>
      <c r="BC462" s="195"/>
      <c r="BD462" s="195"/>
      <c r="BE462" s="195"/>
      <c r="BF462" s="195"/>
      <c r="BG462" s="195"/>
      <c r="BH462" s="195"/>
      <c r="BI462" s="195"/>
    </row>
    <row r="463" spans="1:61" x14ac:dyDescent="0.25">
      <c r="A463" t="s">
        <v>343</v>
      </c>
      <c r="B463" t="s">
        <v>344</v>
      </c>
      <c r="C463" t="s">
        <v>982</v>
      </c>
      <c r="D463" t="s">
        <v>45</v>
      </c>
      <c r="E463" t="s">
        <v>983</v>
      </c>
      <c r="F463" t="s">
        <v>42</v>
      </c>
      <c r="G463" t="s">
        <v>984</v>
      </c>
      <c r="H463" t="s">
        <v>36</v>
      </c>
      <c r="I463" t="s">
        <v>985</v>
      </c>
      <c r="J463" t="s">
        <v>32</v>
      </c>
      <c r="K463" t="s">
        <v>986</v>
      </c>
      <c r="L463" t="s">
        <v>28</v>
      </c>
      <c r="M463" t="s">
        <v>987</v>
      </c>
      <c r="N463" t="s">
        <v>25</v>
      </c>
      <c r="O463" t="s">
        <v>997</v>
      </c>
      <c r="P463" t="s">
        <v>20</v>
      </c>
      <c r="AG463" t="s">
        <v>526</v>
      </c>
      <c r="AH463" t="s">
        <v>527</v>
      </c>
      <c r="AI463" t="s">
        <v>353</v>
      </c>
      <c r="AJ463" t="s">
        <v>997</v>
      </c>
      <c r="AK463" s="1">
        <v>-53941.78</v>
      </c>
      <c r="AL463" s="1">
        <v>0</v>
      </c>
      <c r="AM463" s="1">
        <v>-53941.78</v>
      </c>
      <c r="AN463" s="1">
        <v>-26970.89</v>
      </c>
      <c r="AO463" s="1">
        <v>0</v>
      </c>
      <c r="AP463" s="1">
        <v>-26970.89</v>
      </c>
      <c r="AQ463" s="1">
        <v>-22319.54</v>
      </c>
      <c r="AR463" s="1">
        <v>0</v>
      </c>
      <c r="AS463" s="1">
        <v>-22319.54</v>
      </c>
      <c r="AT463" s="1">
        <v>0</v>
      </c>
      <c r="BA463" s="195"/>
      <c r="BB463" s="195"/>
      <c r="BC463" s="195"/>
      <c r="BD463" s="195"/>
      <c r="BE463" s="195"/>
      <c r="BF463" s="195"/>
      <c r="BG463" s="195"/>
      <c r="BH463" s="195"/>
      <c r="BI463" s="195"/>
    </row>
    <row r="464" spans="1:61" x14ac:dyDescent="0.25">
      <c r="A464" t="s">
        <v>343</v>
      </c>
      <c r="B464" t="s">
        <v>344</v>
      </c>
      <c r="C464" t="s">
        <v>982</v>
      </c>
      <c r="D464" t="s">
        <v>45</v>
      </c>
      <c r="E464" t="s">
        <v>983</v>
      </c>
      <c r="F464" t="s">
        <v>42</v>
      </c>
      <c r="G464" t="s">
        <v>984</v>
      </c>
      <c r="H464" t="s">
        <v>36</v>
      </c>
      <c r="I464" t="s">
        <v>985</v>
      </c>
      <c r="J464" t="s">
        <v>32</v>
      </c>
      <c r="K464" t="s">
        <v>986</v>
      </c>
      <c r="L464" t="s">
        <v>28</v>
      </c>
      <c r="M464" t="s">
        <v>987</v>
      </c>
      <c r="N464" t="s">
        <v>25</v>
      </c>
      <c r="O464" t="s">
        <v>997</v>
      </c>
      <c r="P464" t="s">
        <v>20</v>
      </c>
      <c r="AG464" t="s">
        <v>528</v>
      </c>
      <c r="AH464" t="s">
        <v>529</v>
      </c>
      <c r="AI464" t="s">
        <v>353</v>
      </c>
      <c r="AJ464" t="s">
        <v>997</v>
      </c>
      <c r="AK464" s="1">
        <v>-33797.360000000001</v>
      </c>
      <c r="AL464" s="1">
        <v>0</v>
      </c>
      <c r="AM464" s="1">
        <v>-33797.360000000001</v>
      </c>
      <c r="AN464" s="1">
        <v>-16898.68</v>
      </c>
      <c r="AO464" s="1">
        <v>0</v>
      </c>
      <c r="AP464" s="1">
        <v>-16898.68</v>
      </c>
      <c r="AQ464" s="1">
        <v>-15646.86</v>
      </c>
      <c r="AR464" s="1">
        <v>0</v>
      </c>
      <c r="AS464" s="1">
        <v>-15646.86</v>
      </c>
      <c r="AT464" s="1">
        <v>0</v>
      </c>
      <c r="BA464" s="195"/>
      <c r="BB464" s="195"/>
      <c r="BC464" s="195"/>
      <c r="BD464" s="195"/>
      <c r="BE464" s="195"/>
      <c r="BF464" s="195"/>
      <c r="BG464" s="195"/>
      <c r="BH464" s="195"/>
      <c r="BI464" s="195"/>
    </row>
    <row r="465" spans="1:61" x14ac:dyDescent="0.25">
      <c r="A465" t="s">
        <v>343</v>
      </c>
      <c r="B465" t="s">
        <v>344</v>
      </c>
      <c r="C465" t="s">
        <v>982</v>
      </c>
      <c r="D465" t="s">
        <v>45</v>
      </c>
      <c r="E465" t="s">
        <v>983</v>
      </c>
      <c r="F465" t="s">
        <v>42</v>
      </c>
      <c r="G465" t="s">
        <v>984</v>
      </c>
      <c r="H465" t="s">
        <v>36</v>
      </c>
      <c r="I465" t="s">
        <v>985</v>
      </c>
      <c r="J465" t="s">
        <v>32</v>
      </c>
      <c r="K465" t="s">
        <v>986</v>
      </c>
      <c r="L465" t="s">
        <v>28</v>
      </c>
      <c r="M465" t="s">
        <v>987</v>
      </c>
      <c r="N465" t="s">
        <v>25</v>
      </c>
      <c r="O465" t="s">
        <v>997</v>
      </c>
      <c r="P465" t="s">
        <v>20</v>
      </c>
      <c r="AG465" t="s">
        <v>530</v>
      </c>
      <c r="AH465" t="s">
        <v>531</v>
      </c>
      <c r="AI465" t="s">
        <v>353</v>
      </c>
      <c r="AJ465" t="s">
        <v>997</v>
      </c>
      <c r="AK465" s="1">
        <v>-26940.3</v>
      </c>
      <c r="AL465" s="1">
        <v>0</v>
      </c>
      <c r="AM465" s="1">
        <v>-26940.3</v>
      </c>
      <c r="AN465" s="1">
        <v>-13470.15</v>
      </c>
      <c r="AO465" s="1">
        <v>0</v>
      </c>
      <c r="AP465" s="1">
        <v>-13470.15</v>
      </c>
      <c r="AQ465" s="1">
        <v>-16668.03</v>
      </c>
      <c r="AR465" s="1">
        <v>0</v>
      </c>
      <c r="AS465" s="1">
        <v>-16668.03</v>
      </c>
      <c r="AT465" s="1">
        <v>0</v>
      </c>
      <c r="BA465" s="195"/>
      <c r="BB465" s="195"/>
      <c r="BC465" s="195"/>
      <c r="BD465" s="195"/>
      <c r="BE465" s="195"/>
      <c r="BF465" s="195"/>
      <c r="BG465" s="195"/>
      <c r="BH465" s="195"/>
      <c r="BI465" s="195"/>
    </row>
    <row r="466" spans="1:61" x14ac:dyDescent="0.25">
      <c r="A466" t="s">
        <v>343</v>
      </c>
      <c r="B466" t="s">
        <v>344</v>
      </c>
      <c r="C466" t="s">
        <v>982</v>
      </c>
      <c r="D466" t="s">
        <v>45</v>
      </c>
      <c r="E466" t="s">
        <v>983</v>
      </c>
      <c r="F466" t="s">
        <v>42</v>
      </c>
      <c r="G466" t="s">
        <v>984</v>
      </c>
      <c r="H466" t="s">
        <v>36</v>
      </c>
      <c r="I466" t="s">
        <v>985</v>
      </c>
      <c r="J466" t="s">
        <v>32</v>
      </c>
      <c r="K466" t="s">
        <v>986</v>
      </c>
      <c r="L466" t="s">
        <v>28</v>
      </c>
      <c r="M466" t="s">
        <v>987</v>
      </c>
      <c r="N466" t="s">
        <v>25</v>
      </c>
      <c r="O466" t="s">
        <v>998</v>
      </c>
      <c r="P466" t="s">
        <v>999</v>
      </c>
      <c r="AG466" t="s">
        <v>542</v>
      </c>
      <c r="AH466" t="s">
        <v>541</v>
      </c>
      <c r="AI466" t="s">
        <v>353</v>
      </c>
      <c r="AJ466" t="s">
        <v>998</v>
      </c>
      <c r="AK466" s="1">
        <v>-1223.3399999999999</v>
      </c>
      <c r="AL466" s="1">
        <v>0</v>
      </c>
      <c r="AM466" s="1">
        <v>-1223.3399999999999</v>
      </c>
      <c r="AN466" s="1">
        <v>-611.66999999999996</v>
      </c>
      <c r="AO466" s="1">
        <v>0</v>
      </c>
      <c r="AP466" s="1">
        <v>-611.66999999999996</v>
      </c>
      <c r="AQ466" s="1">
        <v>-1626.76</v>
      </c>
      <c r="AR466" s="1">
        <v>0</v>
      </c>
      <c r="AS466" s="1">
        <v>-1626.76</v>
      </c>
      <c r="AT466" s="1">
        <v>0</v>
      </c>
      <c r="BA466" s="195"/>
      <c r="BB466" s="195"/>
      <c r="BC466" s="195"/>
      <c r="BD466" s="195"/>
      <c r="BE466" s="195"/>
      <c r="BF466" s="195"/>
      <c r="BG466" s="195"/>
      <c r="BH466" s="195"/>
      <c r="BI466" s="195"/>
    </row>
    <row r="467" spans="1:61" x14ac:dyDescent="0.25">
      <c r="A467" t="s">
        <v>343</v>
      </c>
      <c r="B467" t="s">
        <v>344</v>
      </c>
      <c r="C467" t="s">
        <v>982</v>
      </c>
      <c r="D467" t="s">
        <v>45</v>
      </c>
      <c r="E467" t="s">
        <v>983</v>
      </c>
      <c r="F467" t="s">
        <v>42</v>
      </c>
      <c r="G467" t="s">
        <v>984</v>
      </c>
      <c r="H467" t="s">
        <v>36</v>
      </c>
      <c r="I467" t="s">
        <v>985</v>
      </c>
      <c r="J467" t="s">
        <v>32</v>
      </c>
      <c r="K467" t="s">
        <v>986</v>
      </c>
      <c r="L467" t="s">
        <v>28</v>
      </c>
      <c r="M467" t="s">
        <v>987</v>
      </c>
      <c r="N467" t="s">
        <v>25</v>
      </c>
      <c r="O467" t="s">
        <v>1000</v>
      </c>
      <c r="P467" t="s">
        <v>23</v>
      </c>
      <c r="AG467" t="s">
        <v>543</v>
      </c>
      <c r="AH467" t="s">
        <v>544</v>
      </c>
      <c r="AI467" t="s">
        <v>353</v>
      </c>
      <c r="AJ467" t="s">
        <v>1000</v>
      </c>
      <c r="AK467" s="1">
        <v>-2654.3</v>
      </c>
      <c r="AL467" s="1">
        <v>0</v>
      </c>
      <c r="AM467" s="1">
        <v>-2654.3</v>
      </c>
      <c r="AN467" s="1">
        <v>-1327.15</v>
      </c>
      <c r="AO467" s="1">
        <v>0</v>
      </c>
      <c r="AP467" s="1">
        <v>-1327.15</v>
      </c>
      <c r="AQ467" s="1">
        <v>-1393.22</v>
      </c>
      <c r="AR467" s="1">
        <v>0</v>
      </c>
      <c r="AS467" s="1">
        <v>-1393.22</v>
      </c>
      <c r="AT467" s="1">
        <v>0</v>
      </c>
      <c r="BA467" s="195"/>
      <c r="BB467" s="195"/>
      <c r="BC467" s="195"/>
      <c r="BD467" s="195"/>
      <c r="BE467" s="195"/>
      <c r="BF467" s="195"/>
      <c r="BG467" s="195"/>
      <c r="BH467" s="195"/>
      <c r="BI467" s="195"/>
    </row>
    <row r="468" spans="1:61" x14ac:dyDescent="0.25">
      <c r="A468" t="s">
        <v>343</v>
      </c>
      <c r="B468" t="s">
        <v>344</v>
      </c>
      <c r="C468" t="s">
        <v>982</v>
      </c>
      <c r="D468" t="s">
        <v>45</v>
      </c>
      <c r="E468" t="s">
        <v>983</v>
      </c>
      <c r="F468" t="s">
        <v>42</v>
      </c>
      <c r="G468" t="s">
        <v>984</v>
      </c>
      <c r="H468" t="s">
        <v>36</v>
      </c>
      <c r="I468" t="s">
        <v>985</v>
      </c>
      <c r="J468" t="s">
        <v>32</v>
      </c>
      <c r="K468" t="s">
        <v>986</v>
      </c>
      <c r="L468" t="s">
        <v>28</v>
      </c>
      <c r="M468" t="s">
        <v>987</v>
      </c>
      <c r="N468" t="s">
        <v>25</v>
      </c>
      <c r="O468" t="s">
        <v>1000</v>
      </c>
      <c r="P468" t="s">
        <v>23</v>
      </c>
      <c r="AG468" t="s">
        <v>545</v>
      </c>
      <c r="AH468" t="s">
        <v>546</v>
      </c>
      <c r="AI468" t="s">
        <v>353</v>
      </c>
      <c r="AJ468" t="s">
        <v>1000</v>
      </c>
      <c r="AK468" s="1">
        <v>-62970.26</v>
      </c>
      <c r="AL468" s="1">
        <v>0</v>
      </c>
      <c r="AM468" s="1">
        <v>-62970.26</v>
      </c>
      <c r="AN468" s="1">
        <v>-31485.13</v>
      </c>
      <c r="AO468" s="1">
        <v>0</v>
      </c>
      <c r="AP468" s="1">
        <v>-31485.13</v>
      </c>
      <c r="AQ468" s="1">
        <v>-50953.3</v>
      </c>
      <c r="AR468" s="1">
        <v>0</v>
      </c>
      <c r="AS468" s="1">
        <v>-50953.3</v>
      </c>
      <c r="AT468" s="1">
        <v>0</v>
      </c>
      <c r="BA468" s="195"/>
      <c r="BB468" s="195"/>
      <c r="BC468" s="195"/>
      <c r="BD468" s="195"/>
      <c r="BE468" s="195"/>
      <c r="BF468" s="195"/>
      <c r="BG468" s="195"/>
      <c r="BH468" s="195"/>
      <c r="BI468" s="195"/>
    </row>
    <row r="469" spans="1:61" x14ac:dyDescent="0.25">
      <c r="A469" t="s">
        <v>343</v>
      </c>
      <c r="B469" t="s">
        <v>344</v>
      </c>
      <c r="C469" t="s">
        <v>982</v>
      </c>
      <c r="D469" t="s">
        <v>45</v>
      </c>
      <c r="E469" t="s">
        <v>983</v>
      </c>
      <c r="F469" t="s">
        <v>42</v>
      </c>
      <c r="G469" t="s">
        <v>984</v>
      </c>
      <c r="H469" t="s">
        <v>36</v>
      </c>
      <c r="I469" t="s">
        <v>985</v>
      </c>
      <c r="J469" t="s">
        <v>32</v>
      </c>
      <c r="K469" t="s">
        <v>986</v>
      </c>
      <c r="L469" t="s">
        <v>28</v>
      </c>
      <c r="M469" t="s">
        <v>987</v>
      </c>
      <c r="N469" t="s">
        <v>25</v>
      </c>
      <c r="O469" t="s">
        <v>1000</v>
      </c>
      <c r="P469" t="s">
        <v>23</v>
      </c>
      <c r="AG469" t="s">
        <v>547</v>
      </c>
      <c r="AH469" t="s">
        <v>548</v>
      </c>
      <c r="AI469" t="s">
        <v>353</v>
      </c>
      <c r="AJ469" t="s">
        <v>1000</v>
      </c>
      <c r="AK469" s="1">
        <v>-599421.88</v>
      </c>
      <c r="AL469" s="1">
        <v>0</v>
      </c>
      <c r="AM469" s="1">
        <v>-599421.88</v>
      </c>
      <c r="AN469" s="1">
        <v>-299710.94</v>
      </c>
      <c r="AO469" s="1">
        <v>0</v>
      </c>
      <c r="AP469" s="1">
        <v>-299710.94</v>
      </c>
      <c r="AQ469" s="1">
        <v>-296476</v>
      </c>
      <c r="AR469" s="1">
        <v>0</v>
      </c>
      <c r="AS469" s="1">
        <v>-296476</v>
      </c>
      <c r="AT469" s="1">
        <v>0</v>
      </c>
      <c r="BA469" s="195"/>
      <c r="BB469" s="195"/>
      <c r="BC469" s="195"/>
      <c r="BD469" s="195"/>
      <c r="BE469" s="195"/>
      <c r="BF469" s="195"/>
      <c r="BG469" s="195"/>
      <c r="BH469" s="195"/>
      <c r="BI469" s="195"/>
    </row>
    <row r="470" spans="1:61" x14ac:dyDescent="0.25">
      <c r="A470" t="s">
        <v>343</v>
      </c>
      <c r="B470" t="s">
        <v>344</v>
      </c>
      <c r="C470" t="s">
        <v>982</v>
      </c>
      <c r="D470" t="s">
        <v>45</v>
      </c>
      <c r="E470" t="s">
        <v>983</v>
      </c>
      <c r="F470" t="s">
        <v>42</v>
      </c>
      <c r="G470" t="s">
        <v>984</v>
      </c>
      <c r="H470" t="s">
        <v>36</v>
      </c>
      <c r="I470" t="s">
        <v>985</v>
      </c>
      <c r="J470" t="s">
        <v>32</v>
      </c>
      <c r="K470" t="s">
        <v>986</v>
      </c>
      <c r="L470" t="s">
        <v>28</v>
      </c>
      <c r="M470" t="s">
        <v>987</v>
      </c>
      <c r="N470" t="s">
        <v>25</v>
      </c>
      <c r="O470" t="s">
        <v>1000</v>
      </c>
      <c r="P470" t="s">
        <v>23</v>
      </c>
      <c r="AG470" t="s">
        <v>549</v>
      </c>
      <c r="AH470" t="s">
        <v>550</v>
      </c>
      <c r="AI470" t="s">
        <v>353</v>
      </c>
      <c r="AJ470" t="s">
        <v>1000</v>
      </c>
      <c r="AK470" s="1">
        <v>-122219.9</v>
      </c>
      <c r="AL470" s="1">
        <v>0</v>
      </c>
      <c r="AM470" s="1">
        <v>-122219.9</v>
      </c>
      <c r="AN470" s="1">
        <v>-61109.95</v>
      </c>
      <c r="AO470" s="1">
        <v>0</v>
      </c>
      <c r="AP470" s="1">
        <v>-61109.95</v>
      </c>
      <c r="AQ470" s="1">
        <v>-49626.14</v>
      </c>
      <c r="AR470" s="1">
        <v>0</v>
      </c>
      <c r="AS470" s="1">
        <v>-49626.14</v>
      </c>
      <c r="AT470" s="1">
        <v>0</v>
      </c>
      <c r="BA470" s="195"/>
      <c r="BB470" s="195"/>
      <c r="BC470" s="195"/>
      <c r="BD470" s="195"/>
      <c r="BE470" s="195"/>
      <c r="BF470" s="195"/>
      <c r="BG470" s="195"/>
      <c r="BH470" s="195"/>
      <c r="BI470" s="195"/>
    </row>
    <row r="471" spans="1:61" x14ac:dyDescent="0.25">
      <c r="A471" t="s">
        <v>343</v>
      </c>
      <c r="B471" t="s">
        <v>344</v>
      </c>
      <c r="C471" t="s">
        <v>982</v>
      </c>
      <c r="D471" t="s">
        <v>45</v>
      </c>
      <c r="E471" t="s">
        <v>983</v>
      </c>
      <c r="F471" t="s">
        <v>42</v>
      </c>
      <c r="G471" t="s">
        <v>984</v>
      </c>
      <c r="H471" t="s">
        <v>36</v>
      </c>
      <c r="I471" t="s">
        <v>985</v>
      </c>
      <c r="J471" t="s">
        <v>32</v>
      </c>
      <c r="K471" t="s">
        <v>986</v>
      </c>
      <c r="L471" t="s">
        <v>28</v>
      </c>
      <c r="M471" t="s">
        <v>987</v>
      </c>
      <c r="N471" t="s">
        <v>25</v>
      </c>
      <c r="O471" t="s">
        <v>1000</v>
      </c>
      <c r="P471" t="s">
        <v>23</v>
      </c>
      <c r="AG471" t="s">
        <v>551</v>
      </c>
      <c r="AH471" t="s">
        <v>552</v>
      </c>
      <c r="AI471" t="s">
        <v>353</v>
      </c>
      <c r="AJ471" t="s">
        <v>1000</v>
      </c>
      <c r="AK471" s="1">
        <v>-57722.22</v>
      </c>
      <c r="AL471" s="1">
        <v>0</v>
      </c>
      <c r="AM471" s="1">
        <v>-57722.22</v>
      </c>
      <c r="AN471" s="1">
        <v>-28861.11</v>
      </c>
      <c r="AO471" s="1">
        <v>0</v>
      </c>
      <c r="AP471" s="1">
        <v>-28861.11</v>
      </c>
      <c r="AQ471" s="1">
        <v>-25932.23</v>
      </c>
      <c r="AR471" s="1">
        <v>0</v>
      </c>
      <c r="AS471" s="1">
        <v>-25932.23</v>
      </c>
      <c r="AT471" s="1">
        <v>0</v>
      </c>
      <c r="BA471" s="195"/>
      <c r="BB471" s="195"/>
      <c r="BC471" s="195"/>
      <c r="BD471" s="195"/>
      <c r="BE471" s="195"/>
      <c r="BF471" s="195"/>
      <c r="BG471" s="195"/>
      <c r="BH471" s="195"/>
      <c r="BI471" s="195"/>
    </row>
    <row r="472" spans="1:61" x14ac:dyDescent="0.25">
      <c r="A472" t="s">
        <v>343</v>
      </c>
      <c r="B472" t="s">
        <v>344</v>
      </c>
      <c r="C472" t="s">
        <v>982</v>
      </c>
      <c r="D472" t="s">
        <v>45</v>
      </c>
      <c r="E472" t="s">
        <v>983</v>
      </c>
      <c r="F472" t="s">
        <v>42</v>
      </c>
      <c r="G472" t="s">
        <v>984</v>
      </c>
      <c r="H472" t="s">
        <v>36</v>
      </c>
      <c r="I472" t="s">
        <v>985</v>
      </c>
      <c r="J472" t="s">
        <v>32</v>
      </c>
      <c r="K472" t="s">
        <v>986</v>
      </c>
      <c r="L472" t="s">
        <v>28</v>
      </c>
      <c r="M472" t="s">
        <v>987</v>
      </c>
      <c r="N472" t="s">
        <v>25</v>
      </c>
      <c r="O472" t="s">
        <v>1000</v>
      </c>
      <c r="P472" t="s">
        <v>23</v>
      </c>
      <c r="AG472" t="s">
        <v>553</v>
      </c>
      <c r="AH472" t="s">
        <v>554</v>
      </c>
      <c r="AI472" t="s">
        <v>353</v>
      </c>
      <c r="AJ472" t="s">
        <v>1000</v>
      </c>
      <c r="AK472" s="1">
        <v>-58055.66</v>
      </c>
      <c r="AL472" s="1">
        <v>0</v>
      </c>
      <c r="AM472" s="1">
        <v>-58055.66</v>
      </c>
      <c r="AN472" s="1">
        <v>-29027.83</v>
      </c>
      <c r="AO472" s="1">
        <v>0</v>
      </c>
      <c r="AP472" s="1">
        <v>-29027.83</v>
      </c>
      <c r="AQ472" s="1">
        <v>-32646.49</v>
      </c>
      <c r="AR472" s="1">
        <v>0</v>
      </c>
      <c r="AS472" s="1">
        <v>-32646.49</v>
      </c>
      <c r="AT472" s="1">
        <v>0</v>
      </c>
      <c r="BA472" s="195"/>
      <c r="BB472" s="195"/>
      <c r="BC472" s="195"/>
      <c r="BD472" s="195"/>
      <c r="BE472" s="195"/>
      <c r="BF472" s="195"/>
      <c r="BG472" s="195"/>
      <c r="BH472" s="195"/>
      <c r="BI472" s="195"/>
    </row>
    <row r="473" spans="1:61" x14ac:dyDescent="0.25">
      <c r="A473" t="s">
        <v>343</v>
      </c>
      <c r="B473" t="s">
        <v>344</v>
      </c>
      <c r="C473" t="s">
        <v>982</v>
      </c>
      <c r="D473" t="s">
        <v>45</v>
      </c>
      <c r="E473" t="s">
        <v>983</v>
      </c>
      <c r="F473" t="s">
        <v>42</v>
      </c>
      <c r="G473" t="s">
        <v>984</v>
      </c>
      <c r="H473" t="s">
        <v>36</v>
      </c>
      <c r="I473" t="s">
        <v>985</v>
      </c>
      <c r="J473" t="s">
        <v>32</v>
      </c>
      <c r="K473" t="s">
        <v>986</v>
      </c>
      <c r="L473" t="s">
        <v>28</v>
      </c>
      <c r="M473" t="s">
        <v>987</v>
      </c>
      <c r="N473" t="s">
        <v>25</v>
      </c>
      <c r="O473" t="s">
        <v>1000</v>
      </c>
      <c r="P473" t="s">
        <v>23</v>
      </c>
      <c r="AG473" t="s">
        <v>555</v>
      </c>
      <c r="AH473" t="s">
        <v>556</v>
      </c>
      <c r="AI473" t="s">
        <v>353</v>
      </c>
      <c r="AJ473" t="s">
        <v>1000</v>
      </c>
      <c r="AK473" s="1">
        <v>-8093.72</v>
      </c>
      <c r="AL473" s="1">
        <v>0</v>
      </c>
      <c r="AM473" s="1">
        <v>-8093.72</v>
      </c>
      <c r="AN473" s="1">
        <v>-4046.86</v>
      </c>
      <c r="AO473" s="1">
        <v>0</v>
      </c>
      <c r="AP473" s="1">
        <v>-4046.86</v>
      </c>
      <c r="AQ473" s="1">
        <v>-5082.3599999999997</v>
      </c>
      <c r="AR473" s="1">
        <v>0</v>
      </c>
      <c r="AS473" s="1">
        <v>-5082.3599999999997</v>
      </c>
      <c r="AT473" s="1">
        <v>0</v>
      </c>
      <c r="BA473" s="195"/>
      <c r="BB473" s="195"/>
      <c r="BC473" s="195"/>
      <c r="BD473" s="195"/>
      <c r="BE473" s="195"/>
      <c r="BF473" s="195"/>
      <c r="BG473" s="195"/>
      <c r="BH473" s="195"/>
      <c r="BI473" s="195"/>
    </row>
    <row r="474" spans="1:61" x14ac:dyDescent="0.25">
      <c r="A474" t="s">
        <v>343</v>
      </c>
      <c r="B474" t="s">
        <v>344</v>
      </c>
      <c r="C474" t="s">
        <v>982</v>
      </c>
      <c r="D474" t="s">
        <v>45</v>
      </c>
      <c r="E474" t="s">
        <v>983</v>
      </c>
      <c r="F474" t="s">
        <v>42</v>
      </c>
      <c r="G474" t="s">
        <v>984</v>
      </c>
      <c r="H474" t="s">
        <v>36</v>
      </c>
      <c r="I474" t="s">
        <v>985</v>
      </c>
      <c r="J474" t="s">
        <v>32</v>
      </c>
      <c r="K474" t="s">
        <v>986</v>
      </c>
      <c r="L474" t="s">
        <v>28</v>
      </c>
      <c r="M474" t="s">
        <v>987</v>
      </c>
      <c r="N474" t="s">
        <v>25</v>
      </c>
      <c r="O474" t="s">
        <v>1000</v>
      </c>
      <c r="P474" t="s">
        <v>23</v>
      </c>
      <c r="AG474" t="s">
        <v>557</v>
      </c>
      <c r="AH474" t="s">
        <v>558</v>
      </c>
      <c r="AI474" t="s">
        <v>353</v>
      </c>
      <c r="AJ474" t="s">
        <v>1000</v>
      </c>
      <c r="AK474" s="1">
        <v>-10180</v>
      </c>
      <c r="AL474" s="1">
        <v>0</v>
      </c>
      <c r="AM474" s="1">
        <v>-10180</v>
      </c>
      <c r="AN474" s="1">
        <v>-5090</v>
      </c>
      <c r="AO474" s="1">
        <v>0</v>
      </c>
      <c r="AP474" s="1">
        <v>-5090</v>
      </c>
      <c r="AQ474" s="1">
        <v>-908.88</v>
      </c>
      <c r="AR474" s="1">
        <v>0</v>
      </c>
      <c r="AS474" s="1">
        <v>-908.88</v>
      </c>
      <c r="AT474" s="1">
        <v>0</v>
      </c>
      <c r="BA474" s="195"/>
      <c r="BB474" s="195"/>
      <c r="BC474" s="195"/>
      <c r="BD474" s="195"/>
      <c r="BE474" s="195"/>
      <c r="BF474" s="195"/>
      <c r="BG474" s="195"/>
      <c r="BH474" s="195"/>
      <c r="BI474" s="195"/>
    </row>
    <row r="475" spans="1:61" x14ac:dyDescent="0.25">
      <c r="A475" t="s">
        <v>343</v>
      </c>
      <c r="B475" t="s">
        <v>344</v>
      </c>
      <c r="C475" t="s">
        <v>982</v>
      </c>
      <c r="D475" t="s">
        <v>45</v>
      </c>
      <c r="E475" t="s">
        <v>983</v>
      </c>
      <c r="F475" t="s">
        <v>42</v>
      </c>
      <c r="G475" t="s">
        <v>984</v>
      </c>
      <c r="H475" t="s">
        <v>36</v>
      </c>
      <c r="I475" t="s">
        <v>985</v>
      </c>
      <c r="J475" t="s">
        <v>32</v>
      </c>
      <c r="K475" t="s">
        <v>986</v>
      </c>
      <c r="L475" t="s">
        <v>28</v>
      </c>
      <c r="M475" t="s">
        <v>987</v>
      </c>
      <c r="N475" t="s">
        <v>25</v>
      </c>
      <c r="O475" t="s">
        <v>1000</v>
      </c>
      <c r="P475" t="s">
        <v>23</v>
      </c>
      <c r="AG475" t="s">
        <v>559</v>
      </c>
      <c r="AH475" t="s">
        <v>560</v>
      </c>
      <c r="AI475" t="s">
        <v>353</v>
      </c>
      <c r="AJ475" t="s">
        <v>1000</v>
      </c>
      <c r="AK475" s="1">
        <v>-37660.92</v>
      </c>
      <c r="AL475" s="1">
        <v>0</v>
      </c>
      <c r="AM475" s="1">
        <v>-37660.92</v>
      </c>
      <c r="AN475" s="1">
        <v>-18830.46</v>
      </c>
      <c r="AO475" s="1">
        <v>0</v>
      </c>
      <c r="AP475" s="1">
        <v>-18830.46</v>
      </c>
      <c r="AQ475" s="1">
        <v>-31471.87</v>
      </c>
      <c r="AR475" s="1">
        <v>0</v>
      </c>
      <c r="AS475" s="1">
        <v>-31471.87</v>
      </c>
      <c r="AT475" s="1">
        <v>0</v>
      </c>
      <c r="BA475" s="195"/>
      <c r="BB475" s="195"/>
      <c r="BC475" s="195"/>
      <c r="BD475" s="195"/>
      <c r="BE475" s="195"/>
      <c r="BF475" s="195"/>
      <c r="BG475" s="195"/>
      <c r="BH475" s="195"/>
      <c r="BI475" s="195"/>
    </row>
    <row r="476" spans="1:61" x14ac:dyDescent="0.25">
      <c r="A476" t="s">
        <v>343</v>
      </c>
      <c r="B476" t="s">
        <v>344</v>
      </c>
      <c r="C476" t="s">
        <v>982</v>
      </c>
      <c r="D476" t="s">
        <v>45</v>
      </c>
      <c r="E476" t="s">
        <v>983</v>
      </c>
      <c r="F476" t="s">
        <v>42</v>
      </c>
      <c r="G476" t="s">
        <v>984</v>
      </c>
      <c r="H476" t="s">
        <v>36</v>
      </c>
      <c r="I476" t="s">
        <v>985</v>
      </c>
      <c r="J476" t="s">
        <v>32</v>
      </c>
      <c r="K476" t="s">
        <v>986</v>
      </c>
      <c r="L476" t="s">
        <v>28</v>
      </c>
      <c r="M476" t="s">
        <v>987</v>
      </c>
      <c r="N476" t="s">
        <v>25</v>
      </c>
      <c r="O476" t="s">
        <v>1000</v>
      </c>
      <c r="P476" t="s">
        <v>23</v>
      </c>
      <c r="AG476" t="s">
        <v>561</v>
      </c>
      <c r="AH476" t="s">
        <v>562</v>
      </c>
      <c r="AI476" t="s">
        <v>353</v>
      </c>
      <c r="AJ476" t="s">
        <v>1000</v>
      </c>
      <c r="AK476" s="1">
        <v>-7461.56</v>
      </c>
      <c r="AL476" s="1">
        <v>0</v>
      </c>
      <c r="AM476" s="1">
        <v>-7461.56</v>
      </c>
      <c r="AN476" s="1">
        <v>-3730.78</v>
      </c>
      <c r="AO476" s="1">
        <v>0</v>
      </c>
      <c r="AP476" s="1">
        <v>-3730.78</v>
      </c>
      <c r="AQ476" s="1">
        <v>-6371.64</v>
      </c>
      <c r="AR476" s="1">
        <v>0</v>
      </c>
      <c r="AS476" s="1">
        <v>-6371.64</v>
      </c>
      <c r="AT476" s="1">
        <v>0</v>
      </c>
      <c r="BA476" s="195"/>
      <c r="BB476" s="195"/>
      <c r="BC476" s="195"/>
      <c r="BD476" s="195"/>
      <c r="BE476" s="195"/>
      <c r="BF476" s="195"/>
      <c r="BG476" s="195"/>
      <c r="BH476" s="195"/>
      <c r="BI476" s="195"/>
    </row>
    <row r="477" spans="1:61" x14ac:dyDescent="0.25">
      <c r="A477" t="s">
        <v>343</v>
      </c>
      <c r="B477" t="s">
        <v>344</v>
      </c>
      <c r="C477" t="s">
        <v>982</v>
      </c>
      <c r="D477" t="s">
        <v>45</v>
      </c>
      <c r="E477" t="s">
        <v>983</v>
      </c>
      <c r="F477" t="s">
        <v>42</v>
      </c>
      <c r="G477" t="s">
        <v>984</v>
      </c>
      <c r="H477" t="s">
        <v>36</v>
      </c>
      <c r="I477" t="s">
        <v>985</v>
      </c>
      <c r="J477" t="s">
        <v>32</v>
      </c>
      <c r="K477" t="s">
        <v>986</v>
      </c>
      <c r="L477" t="s">
        <v>28</v>
      </c>
      <c r="M477" t="s">
        <v>987</v>
      </c>
      <c r="N477" t="s">
        <v>25</v>
      </c>
      <c r="O477" t="s">
        <v>1000</v>
      </c>
      <c r="P477" t="s">
        <v>23</v>
      </c>
      <c r="AG477" t="s">
        <v>563</v>
      </c>
      <c r="AH477" t="s">
        <v>564</v>
      </c>
      <c r="AI477" t="s">
        <v>353</v>
      </c>
      <c r="AJ477" t="s">
        <v>1000</v>
      </c>
      <c r="AK477" s="1">
        <v>-100292.1</v>
      </c>
      <c r="AL477" s="1">
        <v>0</v>
      </c>
      <c r="AM477" s="1">
        <v>-100292.1</v>
      </c>
      <c r="AN477" s="1">
        <v>-50146.05</v>
      </c>
      <c r="AO477" s="1">
        <v>0</v>
      </c>
      <c r="AP477" s="1">
        <v>-50146.05</v>
      </c>
      <c r="AQ477" s="1">
        <v>-44704.03</v>
      </c>
      <c r="AR477" s="1">
        <v>0</v>
      </c>
      <c r="AS477" s="1">
        <v>-44704.03</v>
      </c>
      <c r="AT477" s="1">
        <v>0</v>
      </c>
      <c r="BA477" s="195"/>
      <c r="BB477" s="195"/>
      <c r="BC477" s="195"/>
      <c r="BD477" s="195"/>
      <c r="BE477" s="195"/>
      <c r="BF477" s="195"/>
      <c r="BG477" s="195"/>
      <c r="BH477" s="195"/>
      <c r="BI477" s="195"/>
    </row>
    <row r="478" spans="1:61" x14ac:dyDescent="0.25">
      <c r="A478" t="s">
        <v>343</v>
      </c>
      <c r="B478" t="s">
        <v>344</v>
      </c>
      <c r="C478" t="s">
        <v>982</v>
      </c>
      <c r="D478" t="s">
        <v>45</v>
      </c>
      <c r="E478" t="s">
        <v>983</v>
      </c>
      <c r="F478" t="s">
        <v>42</v>
      </c>
      <c r="G478" t="s">
        <v>984</v>
      </c>
      <c r="H478" t="s">
        <v>36</v>
      </c>
      <c r="I478" t="s">
        <v>985</v>
      </c>
      <c r="J478" t="s">
        <v>32</v>
      </c>
      <c r="K478" t="s">
        <v>986</v>
      </c>
      <c r="L478" t="s">
        <v>28</v>
      </c>
      <c r="M478" t="s">
        <v>987</v>
      </c>
      <c r="N478" t="s">
        <v>25</v>
      </c>
      <c r="O478" t="s">
        <v>1000</v>
      </c>
      <c r="P478" t="s">
        <v>23</v>
      </c>
      <c r="AG478" t="s">
        <v>565</v>
      </c>
      <c r="AH478" t="s">
        <v>566</v>
      </c>
      <c r="AI478" t="s">
        <v>353</v>
      </c>
      <c r="AJ478" t="s">
        <v>1000</v>
      </c>
      <c r="AK478" s="1">
        <v>-19565.8</v>
      </c>
      <c r="AL478" s="1">
        <v>0</v>
      </c>
      <c r="AM478" s="1">
        <v>-19565.8</v>
      </c>
      <c r="AN478" s="1">
        <v>-9782.9</v>
      </c>
      <c r="AO478" s="1">
        <v>0</v>
      </c>
      <c r="AP478" s="1">
        <v>-9782.9</v>
      </c>
      <c r="AQ478" s="1">
        <v>-14953.87</v>
      </c>
      <c r="AR478" s="1">
        <v>0</v>
      </c>
      <c r="AS478" s="1">
        <v>-14953.87</v>
      </c>
      <c r="AT478" s="1">
        <v>0</v>
      </c>
      <c r="BA478" s="195"/>
      <c r="BB478" s="195"/>
      <c r="BC478" s="195"/>
      <c r="BD478" s="195"/>
      <c r="BE478" s="195"/>
      <c r="BF478" s="195"/>
      <c r="BG478" s="195"/>
      <c r="BH478" s="195"/>
      <c r="BI478" s="195"/>
    </row>
    <row r="479" spans="1:61" x14ac:dyDescent="0.25">
      <c r="A479" t="s">
        <v>343</v>
      </c>
      <c r="B479" t="s">
        <v>344</v>
      </c>
      <c r="C479" t="s">
        <v>982</v>
      </c>
      <c r="D479" t="s">
        <v>45</v>
      </c>
      <c r="E479" t="s">
        <v>983</v>
      </c>
      <c r="F479" t="s">
        <v>42</v>
      </c>
      <c r="G479" t="s">
        <v>984</v>
      </c>
      <c r="H479" t="s">
        <v>36</v>
      </c>
      <c r="I479" t="s">
        <v>985</v>
      </c>
      <c r="J479" t="s">
        <v>32</v>
      </c>
      <c r="K479" t="s">
        <v>986</v>
      </c>
      <c r="L479" t="s">
        <v>28</v>
      </c>
      <c r="M479" t="s">
        <v>987</v>
      </c>
      <c r="N479" t="s">
        <v>25</v>
      </c>
      <c r="O479" t="s">
        <v>1000</v>
      </c>
      <c r="P479" t="s">
        <v>23</v>
      </c>
      <c r="AG479" t="s">
        <v>567</v>
      </c>
      <c r="AH479" t="s">
        <v>568</v>
      </c>
      <c r="AI479" t="s">
        <v>353</v>
      </c>
      <c r="AJ479" t="s">
        <v>1000</v>
      </c>
      <c r="AK479" s="1">
        <v>-13400</v>
      </c>
      <c r="AL479" s="1">
        <v>0</v>
      </c>
      <c r="AM479" s="1">
        <v>-13400</v>
      </c>
      <c r="AN479" s="1">
        <v>-6700</v>
      </c>
      <c r="AO479" s="1">
        <v>0</v>
      </c>
      <c r="AP479" s="1">
        <v>-6700</v>
      </c>
      <c r="AQ479" s="1">
        <v>-4904</v>
      </c>
      <c r="AR479" s="1">
        <v>0</v>
      </c>
      <c r="AS479" s="1">
        <v>-4904</v>
      </c>
      <c r="AT479" s="1">
        <v>0</v>
      </c>
      <c r="BA479" s="195"/>
      <c r="BB479" s="195"/>
      <c r="BC479" s="195"/>
      <c r="BD479" s="195"/>
      <c r="BE479" s="195"/>
      <c r="BF479" s="195"/>
      <c r="BG479" s="195"/>
      <c r="BH479" s="195"/>
      <c r="BI479" s="195"/>
    </row>
    <row r="480" spans="1:61" x14ac:dyDescent="0.25">
      <c r="A480" t="s">
        <v>343</v>
      </c>
      <c r="B480" t="s">
        <v>344</v>
      </c>
      <c r="C480" t="s">
        <v>982</v>
      </c>
      <c r="D480" t="s">
        <v>45</v>
      </c>
      <c r="E480" t="s">
        <v>983</v>
      </c>
      <c r="F480" t="s">
        <v>42</v>
      </c>
      <c r="G480" t="s">
        <v>984</v>
      </c>
      <c r="H480" t="s">
        <v>36</v>
      </c>
      <c r="I480" t="s">
        <v>985</v>
      </c>
      <c r="J480" t="s">
        <v>32</v>
      </c>
      <c r="K480" t="s">
        <v>986</v>
      </c>
      <c r="L480" t="s">
        <v>28</v>
      </c>
      <c r="M480" t="s">
        <v>987</v>
      </c>
      <c r="N480" t="s">
        <v>25</v>
      </c>
      <c r="O480" t="s">
        <v>1000</v>
      </c>
      <c r="P480" t="s">
        <v>23</v>
      </c>
      <c r="AG480" t="s">
        <v>569</v>
      </c>
      <c r="AH480" t="s">
        <v>570</v>
      </c>
      <c r="AI480" t="s">
        <v>353</v>
      </c>
      <c r="AJ480" t="s">
        <v>1000</v>
      </c>
      <c r="AK480" s="1">
        <v>-24165.5</v>
      </c>
      <c r="AL480" s="1">
        <v>0</v>
      </c>
      <c r="AM480" s="1">
        <v>-24165.5</v>
      </c>
      <c r="AN480" s="1">
        <v>-12082.75</v>
      </c>
      <c r="AO480" s="1">
        <v>0</v>
      </c>
      <c r="AP480" s="1">
        <v>-12082.75</v>
      </c>
      <c r="AQ480" s="1">
        <v>-45299</v>
      </c>
      <c r="AR480" s="1">
        <v>0</v>
      </c>
      <c r="AS480" s="1">
        <v>-45299</v>
      </c>
      <c r="AT480" s="1">
        <v>0</v>
      </c>
      <c r="BA480" s="195"/>
      <c r="BB480" s="195"/>
      <c r="BC480" s="195"/>
      <c r="BD480" s="195"/>
      <c r="BE480" s="195"/>
      <c r="BF480" s="195"/>
      <c r="BG480" s="195"/>
      <c r="BH480" s="195"/>
      <c r="BI480" s="195"/>
    </row>
    <row r="481" spans="1:61" x14ac:dyDescent="0.25">
      <c r="A481" t="s">
        <v>343</v>
      </c>
      <c r="B481" t="s">
        <v>344</v>
      </c>
      <c r="C481" t="s">
        <v>982</v>
      </c>
      <c r="D481" t="s">
        <v>45</v>
      </c>
      <c r="E481" t="s">
        <v>983</v>
      </c>
      <c r="F481" t="s">
        <v>42</v>
      </c>
      <c r="G481" t="s">
        <v>984</v>
      </c>
      <c r="H481" t="s">
        <v>36</v>
      </c>
      <c r="I481" t="s">
        <v>985</v>
      </c>
      <c r="J481" t="s">
        <v>32</v>
      </c>
      <c r="K481" t="s">
        <v>986</v>
      </c>
      <c r="L481" t="s">
        <v>28</v>
      </c>
      <c r="M481" t="s">
        <v>987</v>
      </c>
      <c r="N481" t="s">
        <v>25</v>
      </c>
      <c r="O481" t="s">
        <v>1000</v>
      </c>
      <c r="P481" t="s">
        <v>23</v>
      </c>
      <c r="AG481" t="s">
        <v>571</v>
      </c>
      <c r="AH481" t="s">
        <v>572</v>
      </c>
      <c r="AI481" t="s">
        <v>353</v>
      </c>
      <c r="AJ481" t="s">
        <v>1000</v>
      </c>
      <c r="AK481" s="1">
        <v>-53312</v>
      </c>
      <c r="AL481" s="1">
        <v>0</v>
      </c>
      <c r="AM481" s="1">
        <v>-53312</v>
      </c>
      <c r="AN481" s="1">
        <v>-26656</v>
      </c>
      <c r="AO481" s="1">
        <v>0</v>
      </c>
      <c r="AP481" s="1">
        <v>-26656</v>
      </c>
      <c r="AQ481" s="1">
        <v>-39966.550000000003</v>
      </c>
      <c r="AR481" s="1">
        <v>0</v>
      </c>
      <c r="AS481" s="1">
        <v>-39966.550000000003</v>
      </c>
      <c r="AT481" s="1">
        <v>0</v>
      </c>
      <c r="BA481" s="195"/>
      <c r="BB481" s="195"/>
      <c r="BC481" s="195"/>
      <c r="BD481" s="195"/>
      <c r="BE481" s="195"/>
      <c r="BF481" s="195"/>
      <c r="BG481" s="195"/>
      <c r="BH481" s="195"/>
      <c r="BI481" s="195"/>
    </row>
    <row r="482" spans="1:61" x14ac:dyDescent="0.25">
      <c r="A482" t="s">
        <v>343</v>
      </c>
      <c r="B482" t="s">
        <v>344</v>
      </c>
      <c r="C482" t="s">
        <v>982</v>
      </c>
      <c r="D482" t="s">
        <v>45</v>
      </c>
      <c r="E482" t="s">
        <v>983</v>
      </c>
      <c r="F482" t="s">
        <v>42</v>
      </c>
      <c r="G482" t="s">
        <v>984</v>
      </c>
      <c r="H482" t="s">
        <v>36</v>
      </c>
      <c r="I482" t="s">
        <v>985</v>
      </c>
      <c r="J482" t="s">
        <v>32</v>
      </c>
      <c r="K482" t="s">
        <v>986</v>
      </c>
      <c r="L482" t="s">
        <v>28</v>
      </c>
      <c r="M482" t="s">
        <v>987</v>
      </c>
      <c r="N482" t="s">
        <v>25</v>
      </c>
      <c r="O482" t="s">
        <v>1000</v>
      </c>
      <c r="P482" t="s">
        <v>23</v>
      </c>
      <c r="AG482" t="s">
        <v>573</v>
      </c>
      <c r="AH482" t="s">
        <v>574</v>
      </c>
      <c r="AI482" t="s">
        <v>353</v>
      </c>
      <c r="AJ482" t="s">
        <v>1000</v>
      </c>
      <c r="AK482" s="1">
        <v>-14760.6</v>
      </c>
      <c r="AL482" s="1">
        <v>0</v>
      </c>
      <c r="AM482" s="1">
        <v>-14760.6</v>
      </c>
      <c r="AN482" s="1">
        <v>-7380.3</v>
      </c>
      <c r="AO482" s="1">
        <v>0</v>
      </c>
      <c r="AP482" s="1">
        <v>-7380.3</v>
      </c>
      <c r="AQ482" s="1">
        <v>-5299.69</v>
      </c>
      <c r="AR482" s="1">
        <v>0</v>
      </c>
      <c r="AS482" s="1">
        <v>-5299.69</v>
      </c>
      <c r="AT482" s="1">
        <v>0</v>
      </c>
      <c r="BA482" s="195"/>
      <c r="BB482" s="195"/>
      <c r="BC482" s="195"/>
      <c r="BD482" s="195"/>
      <c r="BE482" s="195"/>
      <c r="BF482" s="195"/>
      <c r="BG482" s="195"/>
      <c r="BH482" s="195"/>
      <c r="BI482" s="195"/>
    </row>
    <row r="483" spans="1:61" x14ac:dyDescent="0.25">
      <c r="A483" t="s">
        <v>343</v>
      </c>
      <c r="B483" t="s">
        <v>344</v>
      </c>
      <c r="C483" t="s">
        <v>982</v>
      </c>
      <c r="D483" t="s">
        <v>45</v>
      </c>
      <c r="E483" t="s">
        <v>983</v>
      </c>
      <c r="F483" t="s">
        <v>42</v>
      </c>
      <c r="G483" t="s">
        <v>984</v>
      </c>
      <c r="H483" t="s">
        <v>36</v>
      </c>
      <c r="I483" t="s">
        <v>985</v>
      </c>
      <c r="J483" t="s">
        <v>32</v>
      </c>
      <c r="K483" t="s">
        <v>986</v>
      </c>
      <c r="L483" t="s">
        <v>28</v>
      </c>
      <c r="M483" t="s">
        <v>987</v>
      </c>
      <c r="N483" t="s">
        <v>25</v>
      </c>
      <c r="O483" t="s">
        <v>1000</v>
      </c>
      <c r="P483" t="s">
        <v>23</v>
      </c>
      <c r="AG483" t="s">
        <v>575</v>
      </c>
      <c r="AH483" t="s">
        <v>576</v>
      </c>
      <c r="AI483" t="s">
        <v>353</v>
      </c>
      <c r="AJ483" t="s">
        <v>1000</v>
      </c>
      <c r="AK483" s="1">
        <v>-7384.72</v>
      </c>
      <c r="AL483" s="1">
        <v>0</v>
      </c>
      <c r="AM483" s="1">
        <v>-7384.72</v>
      </c>
      <c r="AN483" s="1">
        <v>-3692.36</v>
      </c>
      <c r="AO483" s="1">
        <v>0</v>
      </c>
      <c r="AP483" s="1">
        <v>-3692.36</v>
      </c>
      <c r="AQ483" s="1">
        <v>-3270.41</v>
      </c>
      <c r="AR483" s="1">
        <v>0</v>
      </c>
      <c r="AS483" s="1">
        <v>-3270.41</v>
      </c>
      <c r="AT483" s="1">
        <v>0</v>
      </c>
      <c r="BA483" s="195"/>
      <c r="BB483" s="195"/>
      <c r="BC483" s="195"/>
      <c r="BD483" s="195"/>
      <c r="BE483" s="195"/>
      <c r="BF483" s="195"/>
      <c r="BG483" s="195"/>
      <c r="BH483" s="195"/>
      <c r="BI483" s="195"/>
    </row>
    <row r="484" spans="1:61" x14ac:dyDescent="0.25">
      <c r="A484" t="s">
        <v>343</v>
      </c>
      <c r="B484" t="s">
        <v>344</v>
      </c>
      <c r="C484" t="s">
        <v>982</v>
      </c>
      <c r="D484" t="s">
        <v>45</v>
      </c>
      <c r="E484" t="s">
        <v>983</v>
      </c>
      <c r="F484" t="s">
        <v>42</v>
      </c>
      <c r="G484" t="s">
        <v>984</v>
      </c>
      <c r="H484" t="s">
        <v>36</v>
      </c>
      <c r="I484" t="s">
        <v>985</v>
      </c>
      <c r="J484" t="s">
        <v>32</v>
      </c>
      <c r="K484" t="s">
        <v>986</v>
      </c>
      <c r="L484" t="s">
        <v>28</v>
      </c>
      <c r="M484" t="s">
        <v>987</v>
      </c>
      <c r="N484" t="s">
        <v>25</v>
      </c>
      <c r="O484" t="s">
        <v>1000</v>
      </c>
      <c r="P484" t="s">
        <v>23</v>
      </c>
      <c r="AG484" t="s">
        <v>577</v>
      </c>
      <c r="AH484" t="s">
        <v>578</v>
      </c>
      <c r="AI484" t="s">
        <v>353</v>
      </c>
      <c r="AJ484" t="s">
        <v>1000</v>
      </c>
      <c r="AK484" s="1">
        <v>-25972</v>
      </c>
      <c r="AL484" s="1">
        <v>0</v>
      </c>
      <c r="AM484" s="1">
        <v>-25972</v>
      </c>
      <c r="AN484" s="1">
        <v>-12986</v>
      </c>
      <c r="AO484" s="1">
        <v>0</v>
      </c>
      <c r="AP484" s="1">
        <v>-12986</v>
      </c>
      <c r="AQ484" s="1">
        <v>-24108.06</v>
      </c>
      <c r="AR484" s="1">
        <v>0</v>
      </c>
      <c r="AS484" s="1">
        <v>-24108.06</v>
      </c>
      <c r="AT484" s="1">
        <v>0</v>
      </c>
      <c r="BA484" s="195"/>
      <c r="BB484" s="195"/>
      <c r="BC484" s="195"/>
      <c r="BD484" s="195"/>
      <c r="BE484" s="195"/>
      <c r="BF484" s="195"/>
      <c r="BG484" s="195"/>
      <c r="BH484" s="195"/>
      <c r="BI484" s="195"/>
    </row>
    <row r="485" spans="1:61" x14ac:dyDescent="0.25">
      <c r="A485" t="s">
        <v>343</v>
      </c>
      <c r="B485" t="s">
        <v>344</v>
      </c>
      <c r="C485" t="s">
        <v>982</v>
      </c>
      <c r="D485" t="s">
        <v>45</v>
      </c>
      <c r="E485" t="s">
        <v>983</v>
      </c>
      <c r="F485" t="s">
        <v>42</v>
      </c>
      <c r="G485" t="s">
        <v>984</v>
      </c>
      <c r="H485" t="s">
        <v>36</v>
      </c>
      <c r="I485" t="s">
        <v>985</v>
      </c>
      <c r="J485" t="s">
        <v>32</v>
      </c>
      <c r="K485" t="s">
        <v>986</v>
      </c>
      <c r="L485" t="s">
        <v>28</v>
      </c>
      <c r="M485" t="s">
        <v>987</v>
      </c>
      <c r="N485" t="s">
        <v>25</v>
      </c>
      <c r="O485" t="s">
        <v>1000</v>
      </c>
      <c r="P485" t="s">
        <v>23</v>
      </c>
      <c r="AG485" t="s">
        <v>579</v>
      </c>
      <c r="AH485" t="s">
        <v>580</v>
      </c>
      <c r="AI485" t="s">
        <v>353</v>
      </c>
      <c r="AJ485" t="s">
        <v>1000</v>
      </c>
      <c r="AK485" s="1">
        <v>-4337.16</v>
      </c>
      <c r="AL485" s="1">
        <v>0</v>
      </c>
      <c r="AM485" s="1">
        <v>-4337.16</v>
      </c>
      <c r="AN485" s="1">
        <v>-2168.58</v>
      </c>
      <c r="AO485" s="1">
        <v>0</v>
      </c>
      <c r="AP485" s="1">
        <v>-2168.58</v>
      </c>
      <c r="AQ485" s="1">
        <v>-25475.62</v>
      </c>
      <c r="AR485" s="1">
        <v>0</v>
      </c>
      <c r="AS485" s="1">
        <v>-25475.62</v>
      </c>
      <c r="AT485" s="1">
        <v>0</v>
      </c>
      <c r="BA485" s="195"/>
      <c r="BB485" s="195"/>
      <c r="BC485" s="195"/>
      <c r="BD485" s="195"/>
      <c r="BE485" s="195"/>
      <c r="BF485" s="195"/>
      <c r="BG485" s="195"/>
      <c r="BH485" s="195"/>
      <c r="BI485" s="195"/>
    </row>
    <row r="486" spans="1:61" x14ac:dyDescent="0.25">
      <c r="A486" t="s">
        <v>343</v>
      </c>
      <c r="B486" t="s">
        <v>344</v>
      </c>
      <c r="C486" t="s">
        <v>982</v>
      </c>
      <c r="D486" t="s">
        <v>45</v>
      </c>
      <c r="E486" t="s">
        <v>983</v>
      </c>
      <c r="F486" t="s">
        <v>42</v>
      </c>
      <c r="G486" t="s">
        <v>984</v>
      </c>
      <c r="H486" t="s">
        <v>36</v>
      </c>
      <c r="I486" t="s">
        <v>985</v>
      </c>
      <c r="J486" t="s">
        <v>32</v>
      </c>
      <c r="K486" t="s">
        <v>986</v>
      </c>
      <c r="L486" t="s">
        <v>28</v>
      </c>
      <c r="M486" t="s">
        <v>987</v>
      </c>
      <c r="N486" t="s">
        <v>25</v>
      </c>
      <c r="O486" t="s">
        <v>1000</v>
      </c>
      <c r="P486" t="s">
        <v>23</v>
      </c>
      <c r="AG486" t="s">
        <v>581</v>
      </c>
      <c r="AH486" t="s">
        <v>582</v>
      </c>
      <c r="AI486" t="s">
        <v>353</v>
      </c>
      <c r="AJ486" t="s">
        <v>1000</v>
      </c>
      <c r="AK486" s="1">
        <v>0</v>
      </c>
      <c r="AL486" s="1">
        <v>0</v>
      </c>
      <c r="AM486" s="1">
        <v>0</v>
      </c>
      <c r="AN486" s="1">
        <v>0</v>
      </c>
      <c r="AO486" s="1">
        <v>0</v>
      </c>
      <c r="AP486" s="1">
        <v>0</v>
      </c>
      <c r="AQ486" s="1">
        <v>-1154.6400000000001</v>
      </c>
      <c r="AR486" s="1">
        <v>0</v>
      </c>
      <c r="AS486" s="1">
        <v>-1154.6400000000001</v>
      </c>
      <c r="AT486" s="1">
        <v>0</v>
      </c>
      <c r="BA486" s="195"/>
      <c r="BB486" s="195"/>
      <c r="BC486" s="195"/>
      <c r="BD486" s="195"/>
      <c r="BE486" s="195"/>
      <c r="BF486" s="195"/>
      <c r="BG486" s="195"/>
      <c r="BH486" s="195"/>
      <c r="BI486" s="195"/>
    </row>
    <row r="487" spans="1:61" x14ac:dyDescent="0.25">
      <c r="A487" t="s">
        <v>343</v>
      </c>
      <c r="B487" t="s">
        <v>344</v>
      </c>
      <c r="C487" t="s">
        <v>982</v>
      </c>
      <c r="D487" t="s">
        <v>45</v>
      </c>
      <c r="E487" t="s">
        <v>983</v>
      </c>
      <c r="F487" t="s">
        <v>42</v>
      </c>
      <c r="G487" t="s">
        <v>984</v>
      </c>
      <c r="H487" t="s">
        <v>36</v>
      </c>
      <c r="I487" t="s">
        <v>985</v>
      </c>
      <c r="J487" t="s">
        <v>32</v>
      </c>
      <c r="K487" t="s">
        <v>986</v>
      </c>
      <c r="L487" t="s">
        <v>28</v>
      </c>
      <c r="M487" t="s">
        <v>987</v>
      </c>
      <c r="N487" t="s">
        <v>25</v>
      </c>
      <c r="O487" t="s">
        <v>1000</v>
      </c>
      <c r="P487" t="s">
        <v>23</v>
      </c>
      <c r="AG487" t="s">
        <v>583</v>
      </c>
      <c r="AH487" t="s">
        <v>584</v>
      </c>
      <c r="AI487" t="s">
        <v>353</v>
      </c>
      <c r="AJ487" t="s">
        <v>1000</v>
      </c>
      <c r="AK487" s="1">
        <v>-114170</v>
      </c>
      <c r="AL487" s="1">
        <v>0</v>
      </c>
      <c r="AM487" s="1">
        <v>-114170</v>
      </c>
      <c r="AN487" s="1">
        <v>-57085</v>
      </c>
      <c r="AO487" s="1">
        <v>0</v>
      </c>
      <c r="AP487" s="1">
        <v>-57085</v>
      </c>
      <c r="AQ487" s="1">
        <v>-193059.05</v>
      </c>
      <c r="AR487" s="1">
        <v>0</v>
      </c>
      <c r="AS487" s="1">
        <v>-193059.05</v>
      </c>
      <c r="AT487" s="1">
        <v>0</v>
      </c>
      <c r="BA487" s="195"/>
      <c r="BB487" s="195"/>
      <c r="BC487" s="195"/>
      <c r="BD487" s="195"/>
      <c r="BE487" s="195"/>
      <c r="BF487" s="195"/>
      <c r="BG487" s="195"/>
      <c r="BH487" s="195"/>
      <c r="BI487" s="195"/>
    </row>
    <row r="488" spans="1:61" x14ac:dyDescent="0.25">
      <c r="A488" t="s">
        <v>343</v>
      </c>
      <c r="B488" t="s">
        <v>344</v>
      </c>
      <c r="C488" t="s">
        <v>982</v>
      </c>
      <c r="D488" t="s">
        <v>45</v>
      </c>
      <c r="E488" t="s">
        <v>983</v>
      </c>
      <c r="F488" t="s">
        <v>42</v>
      </c>
      <c r="G488" t="s">
        <v>984</v>
      </c>
      <c r="H488" t="s">
        <v>36</v>
      </c>
      <c r="I488" t="s">
        <v>985</v>
      </c>
      <c r="J488" t="s">
        <v>32</v>
      </c>
      <c r="K488" t="s">
        <v>986</v>
      </c>
      <c r="L488" t="s">
        <v>28</v>
      </c>
      <c r="M488" t="s">
        <v>987</v>
      </c>
      <c r="N488" t="s">
        <v>25</v>
      </c>
      <c r="O488" t="s">
        <v>1000</v>
      </c>
      <c r="P488" t="s">
        <v>23</v>
      </c>
      <c r="AG488" t="s">
        <v>585</v>
      </c>
      <c r="AH488" t="s">
        <v>586</v>
      </c>
      <c r="AI488" t="s">
        <v>353</v>
      </c>
      <c r="AJ488" t="s">
        <v>1000</v>
      </c>
      <c r="AK488" s="1">
        <v>-84558.62</v>
      </c>
      <c r="AL488" s="1">
        <v>0</v>
      </c>
      <c r="AM488" s="1">
        <v>-84558.62</v>
      </c>
      <c r="AN488" s="1">
        <v>-42279.31</v>
      </c>
      <c r="AO488" s="1">
        <v>0</v>
      </c>
      <c r="AP488" s="1">
        <v>-42279.31</v>
      </c>
      <c r="AQ488" s="1">
        <v>-54369.33</v>
      </c>
      <c r="AR488" s="1">
        <v>0</v>
      </c>
      <c r="AS488" s="1">
        <v>-54369.33</v>
      </c>
      <c r="AT488" s="1">
        <v>0</v>
      </c>
      <c r="BA488" s="195"/>
      <c r="BB488" s="195"/>
      <c r="BC488" s="195"/>
      <c r="BD488" s="195"/>
      <c r="BE488" s="195"/>
      <c r="BF488" s="195"/>
      <c r="BG488" s="195"/>
      <c r="BH488" s="195"/>
      <c r="BI488" s="195"/>
    </row>
    <row r="489" spans="1:61" x14ac:dyDescent="0.25">
      <c r="A489" t="s">
        <v>343</v>
      </c>
      <c r="B489" t="s">
        <v>344</v>
      </c>
      <c r="C489" t="s">
        <v>982</v>
      </c>
      <c r="D489" t="s">
        <v>45</v>
      </c>
      <c r="E489" t="s">
        <v>983</v>
      </c>
      <c r="F489" t="s">
        <v>42</v>
      </c>
      <c r="G489" t="s">
        <v>984</v>
      </c>
      <c r="H489" t="s">
        <v>36</v>
      </c>
      <c r="I489" t="s">
        <v>985</v>
      </c>
      <c r="J489" t="s">
        <v>32</v>
      </c>
      <c r="K489" t="s">
        <v>986</v>
      </c>
      <c r="L489" t="s">
        <v>28</v>
      </c>
      <c r="M489" t="s">
        <v>987</v>
      </c>
      <c r="N489" t="s">
        <v>25</v>
      </c>
      <c r="O489" t="s">
        <v>1000</v>
      </c>
      <c r="P489" t="s">
        <v>23</v>
      </c>
      <c r="AG489" t="s">
        <v>587</v>
      </c>
      <c r="AH489" t="s">
        <v>588</v>
      </c>
      <c r="AI489" t="s">
        <v>353</v>
      </c>
      <c r="AJ489" t="s">
        <v>1000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754.86</v>
      </c>
      <c r="AR489" s="1">
        <v>0</v>
      </c>
      <c r="AS489" s="1">
        <v>754.86</v>
      </c>
      <c r="AT489" s="1">
        <v>0</v>
      </c>
      <c r="BA489" s="195"/>
      <c r="BB489" s="195"/>
      <c r="BC489" s="195"/>
      <c r="BD489" s="195"/>
      <c r="BE489" s="195"/>
      <c r="BF489" s="195"/>
      <c r="BG489" s="195"/>
      <c r="BH489" s="195"/>
      <c r="BI489" s="195"/>
    </row>
    <row r="490" spans="1:61" x14ac:dyDescent="0.25">
      <c r="A490" t="s">
        <v>343</v>
      </c>
      <c r="B490" t="s">
        <v>344</v>
      </c>
      <c r="C490" t="s">
        <v>982</v>
      </c>
      <c r="D490" t="s">
        <v>45</v>
      </c>
      <c r="E490" t="s">
        <v>983</v>
      </c>
      <c r="F490" t="s">
        <v>42</v>
      </c>
      <c r="G490" t="s">
        <v>984</v>
      </c>
      <c r="H490" t="s">
        <v>36</v>
      </c>
      <c r="I490" t="s">
        <v>985</v>
      </c>
      <c r="J490" t="s">
        <v>32</v>
      </c>
      <c r="K490" t="s">
        <v>986</v>
      </c>
      <c r="L490" t="s">
        <v>28</v>
      </c>
      <c r="M490" t="s">
        <v>987</v>
      </c>
      <c r="N490" t="s">
        <v>25</v>
      </c>
      <c r="O490" t="s">
        <v>1000</v>
      </c>
      <c r="P490" t="s">
        <v>23</v>
      </c>
      <c r="AG490" t="s">
        <v>589</v>
      </c>
      <c r="AH490" t="s">
        <v>590</v>
      </c>
      <c r="AI490" t="s">
        <v>353</v>
      </c>
      <c r="AJ490" t="s">
        <v>1000</v>
      </c>
      <c r="AK490" s="1">
        <v>-54240</v>
      </c>
      <c r="AL490" s="1">
        <v>0</v>
      </c>
      <c r="AM490" s="1">
        <v>-54240</v>
      </c>
      <c r="AN490" s="1">
        <v>-27120</v>
      </c>
      <c r="AO490" s="1">
        <v>0</v>
      </c>
      <c r="AP490" s="1">
        <v>-27120</v>
      </c>
      <c r="AQ490" s="1">
        <v>-27120</v>
      </c>
      <c r="AR490" s="1">
        <v>0</v>
      </c>
      <c r="AS490" s="1">
        <v>-27120</v>
      </c>
      <c r="AT490" s="1">
        <v>0</v>
      </c>
      <c r="BA490" s="195"/>
      <c r="BB490" s="195"/>
      <c r="BC490" s="195"/>
      <c r="BD490" s="195"/>
      <c r="BE490" s="195"/>
      <c r="BF490" s="195"/>
      <c r="BG490" s="195"/>
      <c r="BH490" s="195"/>
      <c r="BI490" s="195"/>
    </row>
    <row r="491" spans="1:61" x14ac:dyDescent="0.25">
      <c r="A491" t="s">
        <v>343</v>
      </c>
      <c r="B491" t="s">
        <v>344</v>
      </c>
      <c r="C491" t="s">
        <v>982</v>
      </c>
      <c r="D491" t="s">
        <v>45</v>
      </c>
      <c r="E491" t="s">
        <v>983</v>
      </c>
      <c r="F491" t="s">
        <v>42</v>
      </c>
      <c r="G491" t="s">
        <v>984</v>
      </c>
      <c r="H491" t="s">
        <v>36</v>
      </c>
      <c r="I491" t="s">
        <v>985</v>
      </c>
      <c r="J491" t="s">
        <v>32</v>
      </c>
      <c r="K491" t="s">
        <v>986</v>
      </c>
      <c r="L491" t="s">
        <v>28</v>
      </c>
      <c r="M491" t="s">
        <v>987</v>
      </c>
      <c r="N491" t="s">
        <v>25</v>
      </c>
      <c r="O491" t="s">
        <v>1000</v>
      </c>
      <c r="P491" t="s">
        <v>23</v>
      </c>
      <c r="AG491" t="s">
        <v>591</v>
      </c>
      <c r="AH491" t="s">
        <v>592</v>
      </c>
      <c r="AI491" t="s">
        <v>353</v>
      </c>
      <c r="AJ491" t="s">
        <v>1000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-30000</v>
      </c>
      <c r="AR491" s="1">
        <v>0</v>
      </c>
      <c r="AS491" s="1">
        <v>-30000</v>
      </c>
      <c r="AT491" s="1">
        <v>0</v>
      </c>
      <c r="BA491" s="195"/>
      <c r="BB491" s="195"/>
      <c r="BC491" s="195"/>
      <c r="BD491" s="195"/>
      <c r="BE491" s="195"/>
      <c r="BF491" s="195"/>
      <c r="BG491" s="195"/>
      <c r="BH491" s="195"/>
      <c r="BI491" s="195"/>
    </row>
    <row r="492" spans="1:61" x14ac:dyDescent="0.25">
      <c r="A492" t="s">
        <v>343</v>
      </c>
      <c r="B492" t="s">
        <v>344</v>
      </c>
      <c r="C492" t="s">
        <v>982</v>
      </c>
      <c r="D492" t="s">
        <v>45</v>
      </c>
      <c r="E492" t="s">
        <v>983</v>
      </c>
      <c r="F492" t="s">
        <v>42</v>
      </c>
      <c r="G492" t="s">
        <v>984</v>
      </c>
      <c r="H492" t="s">
        <v>36</v>
      </c>
      <c r="I492" t="s">
        <v>985</v>
      </c>
      <c r="J492" t="s">
        <v>32</v>
      </c>
      <c r="K492" t="s">
        <v>986</v>
      </c>
      <c r="L492" t="s">
        <v>28</v>
      </c>
      <c r="M492" t="s">
        <v>987</v>
      </c>
      <c r="N492" t="s">
        <v>25</v>
      </c>
      <c r="O492" t="s">
        <v>1000</v>
      </c>
      <c r="P492" t="s">
        <v>23</v>
      </c>
      <c r="AG492" t="s">
        <v>593</v>
      </c>
      <c r="AH492" t="s">
        <v>594</v>
      </c>
      <c r="AI492" t="s">
        <v>353</v>
      </c>
      <c r="AJ492" t="s">
        <v>1000</v>
      </c>
      <c r="AK492" s="1">
        <v>-6739.3</v>
      </c>
      <c r="AL492" s="1">
        <v>0</v>
      </c>
      <c r="AM492" s="1">
        <v>-6739.3</v>
      </c>
      <c r="AN492" s="1">
        <v>-3369.65</v>
      </c>
      <c r="AO492" s="1">
        <v>0</v>
      </c>
      <c r="AP492" s="1">
        <v>-3369.65</v>
      </c>
      <c r="AQ492" s="1">
        <v>-1035.6199999999999</v>
      </c>
      <c r="AR492" s="1">
        <v>0</v>
      </c>
      <c r="AS492" s="1">
        <v>-1035.6199999999999</v>
      </c>
      <c r="AT492" s="1">
        <v>0</v>
      </c>
      <c r="BA492" s="195"/>
      <c r="BB492" s="195"/>
      <c r="BC492" s="195"/>
      <c r="BD492" s="195"/>
      <c r="BE492" s="195"/>
      <c r="BF492" s="195"/>
      <c r="BG492" s="195"/>
      <c r="BH492" s="195"/>
      <c r="BI492" s="195"/>
    </row>
    <row r="493" spans="1:61" x14ac:dyDescent="0.25">
      <c r="A493" t="s">
        <v>343</v>
      </c>
      <c r="B493" t="s">
        <v>344</v>
      </c>
      <c r="C493" t="s">
        <v>982</v>
      </c>
      <c r="D493" t="s">
        <v>45</v>
      </c>
      <c r="E493" t="s">
        <v>983</v>
      </c>
      <c r="F493" t="s">
        <v>42</v>
      </c>
      <c r="G493" t="s">
        <v>984</v>
      </c>
      <c r="H493" t="s">
        <v>36</v>
      </c>
      <c r="I493" t="s">
        <v>985</v>
      </c>
      <c r="J493" t="s">
        <v>32</v>
      </c>
      <c r="K493" t="s">
        <v>986</v>
      </c>
      <c r="L493" t="s">
        <v>28</v>
      </c>
      <c r="M493" t="s">
        <v>987</v>
      </c>
      <c r="N493" t="s">
        <v>25</v>
      </c>
      <c r="O493" t="s">
        <v>1000</v>
      </c>
      <c r="P493" t="s">
        <v>23</v>
      </c>
      <c r="AG493" t="s">
        <v>595</v>
      </c>
      <c r="AH493" t="s">
        <v>596</v>
      </c>
      <c r="AI493" t="s">
        <v>353</v>
      </c>
      <c r="AJ493" t="s">
        <v>1000</v>
      </c>
      <c r="AK493" s="1">
        <v>-36000</v>
      </c>
      <c r="AL493" s="1">
        <v>0</v>
      </c>
      <c r="AM493" s="1">
        <v>-36000</v>
      </c>
      <c r="AN493" s="1">
        <v>-18000</v>
      </c>
      <c r="AO493" s="1">
        <v>0</v>
      </c>
      <c r="AP493" s="1">
        <v>-18000</v>
      </c>
      <c r="AQ493" s="1">
        <v>-18000</v>
      </c>
      <c r="AR493" s="1">
        <v>0</v>
      </c>
      <c r="AS493" s="1">
        <v>-18000</v>
      </c>
      <c r="AT493" s="1">
        <v>0</v>
      </c>
      <c r="BA493" s="195"/>
      <c r="BB493" s="195"/>
      <c r="BC493" s="195"/>
      <c r="BD493" s="195"/>
      <c r="BE493" s="195"/>
      <c r="BF493" s="195"/>
      <c r="BG493" s="195"/>
      <c r="BH493" s="195"/>
      <c r="BI493" s="195"/>
    </row>
    <row r="494" spans="1:61" x14ac:dyDescent="0.25">
      <c r="A494" t="s">
        <v>343</v>
      </c>
      <c r="B494" t="s">
        <v>344</v>
      </c>
      <c r="C494" t="s">
        <v>982</v>
      </c>
      <c r="D494" t="s">
        <v>45</v>
      </c>
      <c r="E494" t="s">
        <v>983</v>
      </c>
      <c r="F494" t="s">
        <v>42</v>
      </c>
      <c r="G494" t="s">
        <v>984</v>
      </c>
      <c r="H494" t="s">
        <v>36</v>
      </c>
      <c r="I494" t="s">
        <v>985</v>
      </c>
      <c r="J494" t="s">
        <v>32</v>
      </c>
      <c r="K494" t="s">
        <v>986</v>
      </c>
      <c r="L494" t="s">
        <v>28</v>
      </c>
      <c r="M494" t="s">
        <v>987</v>
      </c>
      <c r="N494" t="s">
        <v>25</v>
      </c>
      <c r="O494" t="s">
        <v>1000</v>
      </c>
      <c r="P494" t="s">
        <v>23</v>
      </c>
      <c r="AG494" t="s">
        <v>597</v>
      </c>
      <c r="AH494" t="s">
        <v>598</v>
      </c>
      <c r="AI494" t="s">
        <v>353</v>
      </c>
      <c r="AJ494" t="s">
        <v>1000</v>
      </c>
      <c r="AK494" s="1">
        <v>-3496</v>
      </c>
      <c r="AL494" s="1">
        <v>0</v>
      </c>
      <c r="AM494" s="1">
        <v>-3496</v>
      </c>
      <c r="AN494" s="1">
        <v>-1748</v>
      </c>
      <c r="AO494" s="1">
        <v>0</v>
      </c>
      <c r="AP494" s="1">
        <v>-1748</v>
      </c>
      <c r="AQ494" s="1">
        <v>0</v>
      </c>
      <c r="AR494" s="1">
        <v>0</v>
      </c>
      <c r="AS494" s="1">
        <v>0</v>
      </c>
      <c r="AT494" s="1">
        <v>0</v>
      </c>
      <c r="BA494" s="195"/>
      <c r="BB494" s="195"/>
      <c r="BC494" s="195"/>
      <c r="BD494" s="195"/>
      <c r="BE494" s="195"/>
      <c r="BF494" s="195"/>
      <c r="BG494" s="195"/>
      <c r="BH494" s="195"/>
      <c r="BI494" s="195"/>
    </row>
    <row r="495" spans="1:61" x14ac:dyDescent="0.25">
      <c r="A495" t="s">
        <v>343</v>
      </c>
      <c r="B495" t="s">
        <v>344</v>
      </c>
      <c r="C495" t="s">
        <v>982</v>
      </c>
      <c r="D495" t="s">
        <v>45</v>
      </c>
      <c r="E495" t="s">
        <v>983</v>
      </c>
      <c r="F495" t="s">
        <v>42</v>
      </c>
      <c r="G495" t="s">
        <v>984</v>
      </c>
      <c r="H495" t="s">
        <v>36</v>
      </c>
      <c r="I495" t="s">
        <v>985</v>
      </c>
      <c r="J495" t="s">
        <v>32</v>
      </c>
      <c r="K495" t="s">
        <v>986</v>
      </c>
      <c r="L495" t="s">
        <v>28</v>
      </c>
      <c r="M495" t="s">
        <v>987</v>
      </c>
      <c r="N495" t="s">
        <v>25</v>
      </c>
      <c r="O495" t="s">
        <v>1000</v>
      </c>
      <c r="P495" t="s">
        <v>23</v>
      </c>
      <c r="AG495" t="s">
        <v>599</v>
      </c>
      <c r="AH495" t="s">
        <v>600</v>
      </c>
      <c r="AI495" t="s">
        <v>353</v>
      </c>
      <c r="AJ495" t="s">
        <v>1000</v>
      </c>
      <c r="AK495" s="1">
        <v>-345608.52</v>
      </c>
      <c r="AL495" s="1">
        <v>0</v>
      </c>
      <c r="AM495" s="1">
        <v>-345608.52</v>
      </c>
      <c r="AN495" s="1">
        <v>-172804.26</v>
      </c>
      <c r="AO495" s="1">
        <v>0</v>
      </c>
      <c r="AP495" s="1">
        <v>-172804.26</v>
      </c>
      <c r="AQ495" s="1">
        <v>-199292.02</v>
      </c>
      <c r="AR495" s="1">
        <v>0</v>
      </c>
      <c r="AS495" s="1">
        <v>-199292.02</v>
      </c>
      <c r="AT495" s="1">
        <v>0</v>
      </c>
      <c r="BA495" s="195"/>
      <c r="BB495" s="195"/>
      <c r="BC495" s="195"/>
      <c r="BD495" s="195"/>
      <c r="BE495" s="195"/>
      <c r="BF495" s="195"/>
      <c r="BG495" s="195"/>
      <c r="BH495" s="195"/>
      <c r="BI495" s="195"/>
    </row>
    <row r="496" spans="1:61" x14ac:dyDescent="0.25">
      <c r="A496" t="s">
        <v>343</v>
      </c>
      <c r="B496" t="s">
        <v>344</v>
      </c>
      <c r="C496" t="s">
        <v>982</v>
      </c>
      <c r="D496" t="s">
        <v>45</v>
      </c>
      <c r="E496" t="s">
        <v>983</v>
      </c>
      <c r="F496" t="s">
        <v>42</v>
      </c>
      <c r="G496" t="s">
        <v>984</v>
      </c>
      <c r="H496" t="s">
        <v>36</v>
      </c>
      <c r="I496" t="s">
        <v>985</v>
      </c>
      <c r="J496" t="s">
        <v>32</v>
      </c>
      <c r="K496" t="s">
        <v>986</v>
      </c>
      <c r="L496" t="s">
        <v>28</v>
      </c>
      <c r="M496" t="s">
        <v>987</v>
      </c>
      <c r="N496" t="s">
        <v>25</v>
      </c>
      <c r="O496" t="s">
        <v>1000</v>
      </c>
      <c r="P496" t="s">
        <v>23</v>
      </c>
      <c r="AG496" t="s">
        <v>601</v>
      </c>
      <c r="AH496" t="s">
        <v>602</v>
      </c>
      <c r="AI496" t="s">
        <v>353</v>
      </c>
      <c r="AJ496" t="s">
        <v>1000</v>
      </c>
      <c r="AK496" s="1">
        <v>-226.5</v>
      </c>
      <c r="AL496" s="1">
        <v>0</v>
      </c>
      <c r="AM496" s="1">
        <v>-226.5</v>
      </c>
      <c r="AN496" s="1">
        <v>-113.25</v>
      </c>
      <c r="AO496" s="1">
        <v>0</v>
      </c>
      <c r="AP496" s="1">
        <v>-113.25</v>
      </c>
      <c r="AQ496" s="1">
        <v>-118.4</v>
      </c>
      <c r="AR496" s="1">
        <v>0</v>
      </c>
      <c r="AS496" s="1">
        <v>-118.4</v>
      </c>
      <c r="AT496" s="1">
        <v>0</v>
      </c>
      <c r="BA496" s="195"/>
      <c r="BB496" s="195"/>
      <c r="BC496" s="195"/>
      <c r="BD496" s="195"/>
      <c r="BE496" s="195"/>
      <c r="BF496" s="195"/>
      <c r="BG496" s="195"/>
      <c r="BH496" s="195"/>
      <c r="BI496" s="195"/>
    </row>
    <row r="497" spans="1:61" x14ac:dyDescent="0.25">
      <c r="A497" t="s">
        <v>343</v>
      </c>
      <c r="B497" t="s">
        <v>344</v>
      </c>
      <c r="C497" t="s">
        <v>982</v>
      </c>
      <c r="D497" t="s">
        <v>45</v>
      </c>
      <c r="E497" t="s">
        <v>983</v>
      </c>
      <c r="F497" t="s">
        <v>42</v>
      </c>
      <c r="G497" t="s">
        <v>984</v>
      </c>
      <c r="H497" t="s">
        <v>36</v>
      </c>
      <c r="I497" t="s">
        <v>985</v>
      </c>
      <c r="J497" t="s">
        <v>32</v>
      </c>
      <c r="K497" t="s">
        <v>986</v>
      </c>
      <c r="L497" t="s">
        <v>28</v>
      </c>
      <c r="M497" t="s">
        <v>987</v>
      </c>
      <c r="N497" t="s">
        <v>25</v>
      </c>
      <c r="O497" t="s">
        <v>1000</v>
      </c>
      <c r="P497" t="s">
        <v>23</v>
      </c>
      <c r="AG497" t="s">
        <v>603</v>
      </c>
      <c r="AH497" t="s">
        <v>604</v>
      </c>
      <c r="AI497" t="s">
        <v>353</v>
      </c>
      <c r="AJ497" t="s">
        <v>1000</v>
      </c>
      <c r="AK497" s="1">
        <v>-297255.86</v>
      </c>
      <c r="AL497" s="1">
        <v>0</v>
      </c>
      <c r="AM497" s="1">
        <v>-297255.86</v>
      </c>
      <c r="AN497" s="1">
        <v>-148627.93</v>
      </c>
      <c r="AO497" s="1">
        <v>0</v>
      </c>
      <c r="AP497" s="1">
        <v>-148627.93</v>
      </c>
      <c r="AQ497" s="1">
        <v>-125110.38</v>
      </c>
      <c r="AR497" s="1">
        <v>0</v>
      </c>
      <c r="AS497" s="1">
        <v>-125110.38</v>
      </c>
      <c r="AT497" s="1">
        <v>0</v>
      </c>
      <c r="BA497" s="195"/>
      <c r="BB497" s="195"/>
      <c r="BC497" s="195"/>
      <c r="BD497" s="195"/>
      <c r="BE497" s="195"/>
      <c r="BF497" s="195"/>
      <c r="BG497" s="195"/>
      <c r="BH497" s="195"/>
      <c r="BI497" s="195"/>
    </row>
    <row r="498" spans="1:61" x14ac:dyDescent="0.25">
      <c r="A498" t="s">
        <v>343</v>
      </c>
      <c r="B498" t="s">
        <v>344</v>
      </c>
      <c r="C498" t="s">
        <v>982</v>
      </c>
      <c r="D498" t="s">
        <v>45</v>
      </c>
      <c r="E498" t="s">
        <v>983</v>
      </c>
      <c r="F498" t="s">
        <v>42</v>
      </c>
      <c r="G498" t="s">
        <v>984</v>
      </c>
      <c r="H498" t="s">
        <v>36</v>
      </c>
      <c r="I498" t="s">
        <v>985</v>
      </c>
      <c r="J498" t="s">
        <v>32</v>
      </c>
      <c r="K498" t="s">
        <v>986</v>
      </c>
      <c r="L498" t="s">
        <v>28</v>
      </c>
      <c r="M498" t="s">
        <v>987</v>
      </c>
      <c r="N498" t="s">
        <v>25</v>
      </c>
      <c r="O498" t="s">
        <v>1000</v>
      </c>
      <c r="P498" t="s">
        <v>23</v>
      </c>
      <c r="AG498" t="s">
        <v>605</v>
      </c>
      <c r="AH498" t="s">
        <v>606</v>
      </c>
      <c r="AI498" t="s">
        <v>353</v>
      </c>
      <c r="AJ498" t="s">
        <v>1000</v>
      </c>
      <c r="AK498" s="1">
        <v>-70119.3</v>
      </c>
      <c r="AL498" s="1">
        <v>0</v>
      </c>
      <c r="AM498" s="1">
        <v>-70119.3</v>
      </c>
      <c r="AN498" s="1">
        <v>-35059.65</v>
      </c>
      <c r="AO498" s="1">
        <v>0</v>
      </c>
      <c r="AP498" s="1">
        <v>-35059.65</v>
      </c>
      <c r="AQ498" s="1">
        <v>-20006.8</v>
      </c>
      <c r="AR498" s="1">
        <v>0</v>
      </c>
      <c r="AS498" s="1">
        <v>-20006.8</v>
      </c>
      <c r="AT498" s="1">
        <v>0</v>
      </c>
      <c r="BA498" s="195"/>
      <c r="BB498" s="195"/>
      <c r="BC498" s="195"/>
      <c r="BD498" s="195"/>
      <c r="BE498" s="195"/>
      <c r="BF498" s="195"/>
      <c r="BG498" s="195"/>
      <c r="BH498" s="195"/>
      <c r="BI498" s="195"/>
    </row>
    <row r="499" spans="1:61" x14ac:dyDescent="0.25">
      <c r="A499" t="s">
        <v>343</v>
      </c>
      <c r="B499" t="s">
        <v>344</v>
      </c>
      <c r="C499" t="s">
        <v>982</v>
      </c>
      <c r="D499" t="s">
        <v>45</v>
      </c>
      <c r="E499" t="s">
        <v>983</v>
      </c>
      <c r="F499" t="s">
        <v>42</v>
      </c>
      <c r="G499" t="s">
        <v>984</v>
      </c>
      <c r="H499" t="s">
        <v>36</v>
      </c>
      <c r="I499" t="s">
        <v>985</v>
      </c>
      <c r="J499" t="s">
        <v>32</v>
      </c>
      <c r="K499" t="s">
        <v>986</v>
      </c>
      <c r="L499" t="s">
        <v>28</v>
      </c>
      <c r="M499" t="s">
        <v>987</v>
      </c>
      <c r="N499" t="s">
        <v>25</v>
      </c>
      <c r="O499" t="s">
        <v>1000</v>
      </c>
      <c r="P499" t="s">
        <v>23</v>
      </c>
      <c r="AG499" t="s">
        <v>607</v>
      </c>
      <c r="AH499" t="s">
        <v>608</v>
      </c>
      <c r="AI499" t="s">
        <v>353</v>
      </c>
      <c r="AJ499" t="s">
        <v>1000</v>
      </c>
      <c r="AK499" s="1">
        <v>-10966.94</v>
      </c>
      <c r="AL499" s="1">
        <v>0</v>
      </c>
      <c r="AM499" s="1">
        <v>-10966.94</v>
      </c>
      <c r="AN499" s="1">
        <v>-5483.47</v>
      </c>
      <c r="AO499" s="1">
        <v>0</v>
      </c>
      <c r="AP499" s="1">
        <v>-5483.47</v>
      </c>
      <c r="AQ499" s="1">
        <v>-16959.97</v>
      </c>
      <c r="AR499" s="1">
        <v>0</v>
      </c>
      <c r="AS499" s="1">
        <v>-16959.97</v>
      </c>
      <c r="AT499" s="1">
        <v>0</v>
      </c>
      <c r="BA499" s="195"/>
      <c r="BB499" s="195"/>
      <c r="BC499" s="195"/>
      <c r="BD499" s="195"/>
      <c r="BE499" s="195"/>
      <c r="BF499" s="195"/>
      <c r="BG499" s="195"/>
      <c r="BH499" s="195"/>
      <c r="BI499" s="195"/>
    </row>
    <row r="500" spans="1:61" x14ac:dyDescent="0.25">
      <c r="A500" t="s">
        <v>343</v>
      </c>
      <c r="B500" t="s">
        <v>344</v>
      </c>
      <c r="C500" t="s">
        <v>982</v>
      </c>
      <c r="D500" t="s">
        <v>45</v>
      </c>
      <c r="E500" t="s">
        <v>983</v>
      </c>
      <c r="F500" t="s">
        <v>42</v>
      </c>
      <c r="G500" t="s">
        <v>984</v>
      </c>
      <c r="H500" t="s">
        <v>36</v>
      </c>
      <c r="I500" t="s">
        <v>985</v>
      </c>
      <c r="J500" t="s">
        <v>32</v>
      </c>
      <c r="K500" t="s">
        <v>986</v>
      </c>
      <c r="L500" t="s">
        <v>28</v>
      </c>
      <c r="M500" t="s">
        <v>987</v>
      </c>
      <c r="N500" t="s">
        <v>25</v>
      </c>
      <c r="O500" t="s">
        <v>1000</v>
      </c>
      <c r="P500" t="s">
        <v>23</v>
      </c>
      <c r="AG500" t="s">
        <v>609</v>
      </c>
      <c r="AH500" t="s">
        <v>610</v>
      </c>
      <c r="AI500" t="s">
        <v>353</v>
      </c>
      <c r="AJ500" t="s">
        <v>1000</v>
      </c>
      <c r="AK500" s="1">
        <v>-73721.919999999998</v>
      </c>
      <c r="AL500" s="1">
        <v>0</v>
      </c>
      <c r="AM500" s="1">
        <v>-73721.919999999998</v>
      </c>
      <c r="AN500" s="1">
        <v>-36860.959999999999</v>
      </c>
      <c r="AO500" s="1">
        <v>0</v>
      </c>
      <c r="AP500" s="1">
        <v>-36860.959999999999</v>
      </c>
      <c r="AQ500" s="1">
        <v>-38145.040000000001</v>
      </c>
      <c r="AR500" s="1">
        <v>0</v>
      </c>
      <c r="AS500" s="1">
        <v>-38145.040000000001</v>
      </c>
      <c r="AT500" s="1">
        <v>0</v>
      </c>
      <c r="BA500" s="195"/>
      <c r="BB500" s="195"/>
      <c r="BC500" s="195"/>
      <c r="BD500" s="195"/>
      <c r="BE500" s="195"/>
      <c r="BF500" s="195"/>
      <c r="BG500" s="195"/>
      <c r="BH500" s="195"/>
      <c r="BI500" s="195"/>
    </row>
    <row r="501" spans="1:61" x14ac:dyDescent="0.25">
      <c r="A501" t="s">
        <v>343</v>
      </c>
      <c r="B501" t="s">
        <v>344</v>
      </c>
      <c r="C501" t="s">
        <v>982</v>
      </c>
      <c r="D501" t="s">
        <v>45</v>
      </c>
      <c r="E501" t="s">
        <v>983</v>
      </c>
      <c r="F501" t="s">
        <v>42</v>
      </c>
      <c r="G501" t="s">
        <v>984</v>
      </c>
      <c r="H501" t="s">
        <v>36</v>
      </c>
      <c r="I501" t="s">
        <v>985</v>
      </c>
      <c r="J501" t="s">
        <v>32</v>
      </c>
      <c r="K501" t="s">
        <v>986</v>
      </c>
      <c r="L501" t="s">
        <v>28</v>
      </c>
      <c r="M501" t="s">
        <v>987</v>
      </c>
      <c r="N501" t="s">
        <v>25</v>
      </c>
      <c r="O501" t="s">
        <v>1000</v>
      </c>
      <c r="P501" t="s">
        <v>23</v>
      </c>
      <c r="AG501" t="s">
        <v>611</v>
      </c>
      <c r="AH501" t="s">
        <v>612</v>
      </c>
      <c r="AI501" t="s">
        <v>353</v>
      </c>
      <c r="AJ501" t="s">
        <v>1000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-36.049999999999997</v>
      </c>
      <c r="AR501" s="1">
        <v>0</v>
      </c>
      <c r="AS501" s="1">
        <v>-36.049999999999997</v>
      </c>
      <c r="AT501" s="1">
        <v>0</v>
      </c>
      <c r="BA501" s="195"/>
      <c r="BB501" s="195"/>
      <c r="BC501" s="195"/>
      <c r="BD501" s="195"/>
      <c r="BE501" s="195"/>
      <c r="BF501" s="195"/>
      <c r="BG501" s="195"/>
      <c r="BH501" s="195"/>
      <c r="BI501" s="195"/>
    </row>
    <row r="502" spans="1:61" x14ac:dyDescent="0.25">
      <c r="A502" t="s">
        <v>343</v>
      </c>
      <c r="B502" t="s">
        <v>344</v>
      </c>
      <c r="C502" t="s">
        <v>982</v>
      </c>
      <c r="D502" t="s">
        <v>45</v>
      </c>
      <c r="E502" t="s">
        <v>983</v>
      </c>
      <c r="F502" t="s">
        <v>42</v>
      </c>
      <c r="G502" t="s">
        <v>984</v>
      </c>
      <c r="H502" t="s">
        <v>36</v>
      </c>
      <c r="I502" t="s">
        <v>985</v>
      </c>
      <c r="J502" t="s">
        <v>32</v>
      </c>
      <c r="K502" t="s">
        <v>986</v>
      </c>
      <c r="L502" t="s">
        <v>28</v>
      </c>
      <c r="M502" t="s">
        <v>987</v>
      </c>
      <c r="N502" t="s">
        <v>25</v>
      </c>
      <c r="O502" t="s">
        <v>1000</v>
      </c>
      <c r="P502" t="s">
        <v>23</v>
      </c>
      <c r="AG502" t="s">
        <v>613</v>
      </c>
      <c r="AH502" t="s">
        <v>614</v>
      </c>
      <c r="AI502" t="s">
        <v>353</v>
      </c>
      <c r="AJ502" t="s">
        <v>1000</v>
      </c>
      <c r="AK502" s="1">
        <v>-2890.42</v>
      </c>
      <c r="AL502" s="1">
        <v>0</v>
      </c>
      <c r="AM502" s="1">
        <v>-2890.42</v>
      </c>
      <c r="AN502" s="1">
        <v>-1445.21</v>
      </c>
      <c r="AO502" s="1">
        <v>0</v>
      </c>
      <c r="AP502" s="1">
        <v>-1445.21</v>
      </c>
      <c r="AQ502" s="1">
        <v>-760.4</v>
      </c>
      <c r="AR502" s="1">
        <v>0</v>
      </c>
      <c r="AS502" s="1">
        <v>-760.4</v>
      </c>
      <c r="AT502" s="1">
        <v>0</v>
      </c>
      <c r="BA502" s="195"/>
      <c r="BB502" s="195"/>
      <c r="BC502" s="195"/>
      <c r="BD502" s="195"/>
      <c r="BE502" s="195"/>
      <c r="BF502" s="195"/>
      <c r="BG502" s="195"/>
      <c r="BH502" s="195"/>
      <c r="BI502" s="195"/>
    </row>
    <row r="503" spans="1:61" x14ac:dyDescent="0.25">
      <c r="A503" t="s">
        <v>343</v>
      </c>
      <c r="B503" t="s">
        <v>344</v>
      </c>
      <c r="C503" t="s">
        <v>982</v>
      </c>
      <c r="D503" t="s">
        <v>45</v>
      </c>
      <c r="E503" t="s">
        <v>983</v>
      </c>
      <c r="F503" t="s">
        <v>42</v>
      </c>
      <c r="G503" t="s">
        <v>984</v>
      </c>
      <c r="H503" t="s">
        <v>36</v>
      </c>
      <c r="I503" t="s">
        <v>985</v>
      </c>
      <c r="J503" t="s">
        <v>32</v>
      </c>
      <c r="K503" t="s">
        <v>986</v>
      </c>
      <c r="L503" t="s">
        <v>28</v>
      </c>
      <c r="M503" t="s">
        <v>987</v>
      </c>
      <c r="N503" t="s">
        <v>25</v>
      </c>
      <c r="O503" t="s">
        <v>1000</v>
      </c>
      <c r="P503" t="s">
        <v>23</v>
      </c>
      <c r="AG503" t="s">
        <v>615</v>
      </c>
      <c r="AH503" t="s">
        <v>616</v>
      </c>
      <c r="AI503" t="s">
        <v>353</v>
      </c>
      <c r="AJ503" t="s">
        <v>1000</v>
      </c>
      <c r="AK503" s="1">
        <v>-1000</v>
      </c>
      <c r="AL503" s="1">
        <v>0</v>
      </c>
      <c r="AM503" s="1">
        <v>-1000</v>
      </c>
      <c r="AN503" s="1">
        <v>-500</v>
      </c>
      <c r="AO503" s="1">
        <v>0</v>
      </c>
      <c r="AP503" s="1">
        <v>-500</v>
      </c>
      <c r="AQ503" s="1">
        <v>0</v>
      </c>
      <c r="AR503" s="1">
        <v>0</v>
      </c>
      <c r="AS503" s="1">
        <v>0</v>
      </c>
      <c r="AT503" s="1">
        <v>0</v>
      </c>
      <c r="BA503" s="195"/>
      <c r="BB503" s="195"/>
      <c r="BC503" s="195"/>
      <c r="BD503" s="195"/>
      <c r="BE503" s="195"/>
      <c r="BF503" s="195"/>
      <c r="BG503" s="195"/>
      <c r="BH503" s="195"/>
      <c r="BI503" s="195"/>
    </row>
    <row r="504" spans="1:61" x14ac:dyDescent="0.25">
      <c r="A504" t="s">
        <v>343</v>
      </c>
      <c r="B504" t="s">
        <v>344</v>
      </c>
      <c r="C504" t="s">
        <v>982</v>
      </c>
      <c r="D504" t="s">
        <v>45</v>
      </c>
      <c r="E504" t="s">
        <v>983</v>
      </c>
      <c r="F504" t="s">
        <v>42</v>
      </c>
      <c r="G504" t="s">
        <v>984</v>
      </c>
      <c r="H504" t="s">
        <v>36</v>
      </c>
      <c r="I504" t="s">
        <v>985</v>
      </c>
      <c r="J504" t="s">
        <v>32</v>
      </c>
      <c r="K504" t="s">
        <v>986</v>
      </c>
      <c r="L504" t="s">
        <v>28</v>
      </c>
      <c r="M504" t="s">
        <v>987</v>
      </c>
      <c r="N504" t="s">
        <v>25</v>
      </c>
      <c r="O504" t="s">
        <v>1000</v>
      </c>
      <c r="P504" t="s">
        <v>23</v>
      </c>
      <c r="AG504" t="s">
        <v>617</v>
      </c>
      <c r="AH504" t="s">
        <v>618</v>
      </c>
      <c r="AI504" t="s">
        <v>353</v>
      </c>
      <c r="AJ504" t="s">
        <v>1000</v>
      </c>
      <c r="AK504" s="1">
        <v>-1763.04</v>
      </c>
      <c r="AL504" s="1">
        <v>0</v>
      </c>
      <c r="AM504" s="1">
        <v>-1763.04</v>
      </c>
      <c r="AN504" s="1">
        <v>-881.52</v>
      </c>
      <c r="AO504" s="1">
        <v>0</v>
      </c>
      <c r="AP504" s="1">
        <v>-881.52</v>
      </c>
      <c r="AQ504" s="1">
        <v>0</v>
      </c>
      <c r="AR504" s="1">
        <v>0</v>
      </c>
      <c r="AS504" s="1">
        <v>0</v>
      </c>
      <c r="AT504" s="1">
        <v>0</v>
      </c>
      <c r="BA504" s="195"/>
      <c r="BB504" s="195"/>
      <c r="BC504" s="195"/>
      <c r="BD504" s="195"/>
      <c r="BE504" s="195"/>
      <c r="BF504" s="195"/>
      <c r="BG504" s="195"/>
      <c r="BH504" s="195"/>
      <c r="BI504" s="195"/>
    </row>
    <row r="505" spans="1:61" x14ac:dyDescent="0.25">
      <c r="A505" t="s">
        <v>343</v>
      </c>
      <c r="B505" t="s">
        <v>344</v>
      </c>
      <c r="C505" t="s">
        <v>982</v>
      </c>
      <c r="D505" t="s">
        <v>45</v>
      </c>
      <c r="E505" t="s">
        <v>983</v>
      </c>
      <c r="F505" t="s">
        <v>42</v>
      </c>
      <c r="G505" t="s">
        <v>984</v>
      </c>
      <c r="H505" t="s">
        <v>36</v>
      </c>
      <c r="I505" t="s">
        <v>985</v>
      </c>
      <c r="J505" t="s">
        <v>32</v>
      </c>
      <c r="K505" t="s">
        <v>986</v>
      </c>
      <c r="L505" t="s">
        <v>28</v>
      </c>
      <c r="M505" t="s">
        <v>987</v>
      </c>
      <c r="N505" t="s">
        <v>25</v>
      </c>
      <c r="O505" t="s">
        <v>1000</v>
      </c>
      <c r="P505" t="s">
        <v>23</v>
      </c>
      <c r="AG505" t="s">
        <v>619</v>
      </c>
      <c r="AH505" t="s">
        <v>620</v>
      </c>
      <c r="AI505" t="s">
        <v>353</v>
      </c>
      <c r="AJ505" t="s">
        <v>1000</v>
      </c>
      <c r="AK505" s="1">
        <v>-301090.08</v>
      </c>
      <c r="AL505" s="1">
        <v>0</v>
      </c>
      <c r="AM505" s="1">
        <v>-301090.08</v>
      </c>
      <c r="AN505" s="1">
        <v>-150545.04</v>
      </c>
      <c r="AO505" s="1">
        <v>0</v>
      </c>
      <c r="AP505" s="1">
        <v>-150545.04</v>
      </c>
      <c r="AQ505" s="1">
        <v>-168883.98</v>
      </c>
      <c r="AR505" s="1">
        <v>0</v>
      </c>
      <c r="AS505" s="1">
        <v>-168883.98</v>
      </c>
      <c r="AT505" s="1">
        <v>0</v>
      </c>
      <c r="BA505" s="195"/>
      <c r="BB505" s="195"/>
      <c r="BC505" s="195"/>
      <c r="BD505" s="195"/>
      <c r="BE505" s="195"/>
      <c r="BF505" s="195"/>
      <c r="BG505" s="195"/>
      <c r="BH505" s="195"/>
      <c r="BI505" s="195"/>
    </row>
    <row r="506" spans="1:61" x14ac:dyDescent="0.25">
      <c r="A506" t="s">
        <v>343</v>
      </c>
      <c r="B506" t="s">
        <v>344</v>
      </c>
      <c r="C506" t="s">
        <v>982</v>
      </c>
      <c r="D506" t="s">
        <v>45</v>
      </c>
      <c r="E506" t="s">
        <v>983</v>
      </c>
      <c r="F506" t="s">
        <v>42</v>
      </c>
      <c r="G506" t="s">
        <v>984</v>
      </c>
      <c r="H506" t="s">
        <v>36</v>
      </c>
      <c r="I506" t="s">
        <v>985</v>
      </c>
      <c r="J506" t="s">
        <v>32</v>
      </c>
      <c r="K506" t="s">
        <v>986</v>
      </c>
      <c r="L506" t="s">
        <v>28</v>
      </c>
      <c r="M506" t="s">
        <v>987</v>
      </c>
      <c r="N506" t="s">
        <v>25</v>
      </c>
      <c r="O506" t="s">
        <v>1000</v>
      </c>
      <c r="P506" t="s">
        <v>23</v>
      </c>
      <c r="AG506" t="s">
        <v>621</v>
      </c>
      <c r="AH506" t="s">
        <v>622</v>
      </c>
      <c r="AI506" t="s">
        <v>353</v>
      </c>
      <c r="AJ506" t="s">
        <v>1000</v>
      </c>
      <c r="AK506" s="1">
        <v>-2120</v>
      </c>
      <c r="AL506" s="1">
        <v>0</v>
      </c>
      <c r="AM506" s="1">
        <v>-2120</v>
      </c>
      <c r="AN506" s="1">
        <v>-1060</v>
      </c>
      <c r="AO506" s="1">
        <v>0</v>
      </c>
      <c r="AP506" s="1">
        <v>-1060</v>
      </c>
      <c r="AQ506" s="1">
        <v>-6574.62</v>
      </c>
      <c r="AR506" s="1">
        <v>0</v>
      </c>
      <c r="AS506" s="1">
        <v>-6574.62</v>
      </c>
      <c r="AT506" s="1">
        <v>0</v>
      </c>
      <c r="BA506" s="195"/>
      <c r="BB506" s="195"/>
      <c r="BC506" s="195"/>
      <c r="BD506" s="195"/>
      <c r="BE506" s="195"/>
      <c r="BF506" s="195"/>
      <c r="BG506" s="195"/>
      <c r="BH506" s="195"/>
      <c r="BI506" s="195"/>
    </row>
    <row r="507" spans="1:61" x14ac:dyDescent="0.25">
      <c r="A507" t="s">
        <v>343</v>
      </c>
      <c r="B507" t="s">
        <v>344</v>
      </c>
      <c r="C507" t="s">
        <v>982</v>
      </c>
      <c r="D507" t="s">
        <v>45</v>
      </c>
      <c r="E507" t="s">
        <v>983</v>
      </c>
      <c r="F507" t="s">
        <v>42</v>
      </c>
      <c r="G507" t="s">
        <v>984</v>
      </c>
      <c r="H507" t="s">
        <v>36</v>
      </c>
      <c r="I507" t="s">
        <v>985</v>
      </c>
      <c r="J507" t="s">
        <v>32</v>
      </c>
      <c r="K507" t="s">
        <v>986</v>
      </c>
      <c r="L507" t="s">
        <v>28</v>
      </c>
      <c r="M507" t="s">
        <v>987</v>
      </c>
      <c r="N507" t="s">
        <v>25</v>
      </c>
      <c r="O507" t="s">
        <v>1000</v>
      </c>
      <c r="P507" t="s">
        <v>23</v>
      </c>
      <c r="AG507" t="s">
        <v>623</v>
      </c>
      <c r="AH507" t="s">
        <v>624</v>
      </c>
      <c r="AI507" t="s">
        <v>353</v>
      </c>
      <c r="AJ507" t="s">
        <v>1000</v>
      </c>
      <c r="AK507" s="1">
        <v>-796913.86</v>
      </c>
      <c r="AL507" s="1">
        <v>0</v>
      </c>
      <c r="AM507" s="1">
        <v>-796913.86</v>
      </c>
      <c r="AN507" s="1">
        <v>-398456.93</v>
      </c>
      <c r="AO507" s="1">
        <v>0</v>
      </c>
      <c r="AP507" s="1">
        <v>-398456.93</v>
      </c>
      <c r="AQ507" s="1">
        <v>-466585.89</v>
      </c>
      <c r="AR507" s="1">
        <v>0</v>
      </c>
      <c r="AS507" s="1">
        <v>-466585.89</v>
      </c>
      <c r="AT507" s="1">
        <v>0</v>
      </c>
      <c r="BA507" s="195"/>
      <c r="BB507" s="195"/>
      <c r="BC507" s="195"/>
      <c r="BD507" s="195"/>
      <c r="BE507" s="195"/>
      <c r="BF507" s="195"/>
      <c r="BG507" s="195"/>
      <c r="BH507" s="195"/>
      <c r="BI507" s="195"/>
    </row>
    <row r="508" spans="1:61" x14ac:dyDescent="0.25">
      <c r="A508" t="s">
        <v>343</v>
      </c>
      <c r="B508" t="s">
        <v>344</v>
      </c>
      <c r="C508" t="s">
        <v>982</v>
      </c>
      <c r="D508" t="s">
        <v>45</v>
      </c>
      <c r="E508" t="s">
        <v>983</v>
      </c>
      <c r="F508" t="s">
        <v>42</v>
      </c>
      <c r="G508" t="s">
        <v>984</v>
      </c>
      <c r="H508" t="s">
        <v>36</v>
      </c>
      <c r="I508" t="s">
        <v>985</v>
      </c>
      <c r="J508" t="s">
        <v>32</v>
      </c>
      <c r="K508" t="s">
        <v>986</v>
      </c>
      <c r="L508" t="s">
        <v>28</v>
      </c>
      <c r="M508" t="s">
        <v>987</v>
      </c>
      <c r="N508" t="s">
        <v>25</v>
      </c>
      <c r="O508" t="s">
        <v>1000</v>
      </c>
      <c r="P508" t="s">
        <v>23</v>
      </c>
      <c r="AG508" t="s">
        <v>625</v>
      </c>
      <c r="AH508" t="s">
        <v>626</v>
      </c>
      <c r="AI508" t="s">
        <v>353</v>
      </c>
      <c r="AJ508" t="s">
        <v>1000</v>
      </c>
      <c r="AK508" s="1">
        <v>-31581.200000000001</v>
      </c>
      <c r="AL508" s="1">
        <v>0</v>
      </c>
      <c r="AM508" s="1">
        <v>-31581.200000000001</v>
      </c>
      <c r="AN508" s="1">
        <v>-15790.6</v>
      </c>
      <c r="AO508" s="1">
        <v>0</v>
      </c>
      <c r="AP508" s="1">
        <v>-15790.6</v>
      </c>
      <c r="AQ508" s="1">
        <v>0</v>
      </c>
      <c r="AR508" s="1">
        <v>0</v>
      </c>
      <c r="AS508" s="1">
        <v>0</v>
      </c>
      <c r="AT508" s="1">
        <v>0</v>
      </c>
      <c r="BA508" s="195"/>
      <c r="BB508" s="195"/>
      <c r="BC508" s="195"/>
      <c r="BD508" s="195"/>
      <c r="BE508" s="195"/>
      <c r="BF508" s="195"/>
      <c r="BG508" s="195"/>
      <c r="BH508" s="195"/>
      <c r="BI508" s="195"/>
    </row>
    <row r="509" spans="1:61" x14ac:dyDescent="0.25">
      <c r="A509" t="s">
        <v>343</v>
      </c>
      <c r="B509" t="s">
        <v>344</v>
      </c>
      <c r="C509" t="s">
        <v>982</v>
      </c>
      <c r="D509" t="s">
        <v>45</v>
      </c>
      <c r="E509" t="s">
        <v>983</v>
      </c>
      <c r="F509" t="s">
        <v>42</v>
      </c>
      <c r="G509" t="s">
        <v>984</v>
      </c>
      <c r="H509" t="s">
        <v>36</v>
      </c>
      <c r="I509" t="s">
        <v>985</v>
      </c>
      <c r="J509" t="s">
        <v>32</v>
      </c>
      <c r="K509" t="s">
        <v>986</v>
      </c>
      <c r="L509" t="s">
        <v>28</v>
      </c>
      <c r="M509" t="s">
        <v>987</v>
      </c>
      <c r="N509" t="s">
        <v>25</v>
      </c>
      <c r="O509" t="s">
        <v>1000</v>
      </c>
      <c r="P509" t="s">
        <v>23</v>
      </c>
      <c r="AG509" t="s">
        <v>627</v>
      </c>
      <c r="AH509" t="s">
        <v>628</v>
      </c>
      <c r="AI509" t="s">
        <v>353</v>
      </c>
      <c r="AJ509" t="s">
        <v>1000</v>
      </c>
      <c r="AK509" s="1">
        <v>-6925.1</v>
      </c>
      <c r="AL509" s="1">
        <v>0</v>
      </c>
      <c r="AM509" s="1">
        <v>-6925.1</v>
      </c>
      <c r="AN509" s="1">
        <v>-3462.55</v>
      </c>
      <c r="AO509" s="1">
        <v>0</v>
      </c>
      <c r="AP509" s="1">
        <v>-3462.55</v>
      </c>
      <c r="AQ509" s="1">
        <v>-1733.63</v>
      </c>
      <c r="AR509" s="1">
        <v>0</v>
      </c>
      <c r="AS509" s="1">
        <v>-1733.63</v>
      </c>
      <c r="AT509" s="1">
        <v>0</v>
      </c>
      <c r="BA509" s="195"/>
      <c r="BB509" s="195"/>
      <c r="BC509" s="195"/>
      <c r="BD509" s="195"/>
      <c r="BE509" s="195"/>
      <c r="BF509" s="195"/>
      <c r="BG509" s="195"/>
      <c r="BH509" s="195"/>
      <c r="BI509" s="195"/>
    </row>
    <row r="510" spans="1:61" x14ac:dyDescent="0.25">
      <c r="A510" t="s">
        <v>343</v>
      </c>
      <c r="B510" t="s">
        <v>344</v>
      </c>
      <c r="C510" t="s">
        <v>982</v>
      </c>
      <c r="D510" t="s">
        <v>45</v>
      </c>
      <c r="E510" t="s">
        <v>983</v>
      </c>
      <c r="F510" t="s">
        <v>42</v>
      </c>
      <c r="G510" t="s">
        <v>984</v>
      </c>
      <c r="H510" t="s">
        <v>36</v>
      </c>
      <c r="I510" t="s">
        <v>985</v>
      </c>
      <c r="J510" t="s">
        <v>32</v>
      </c>
      <c r="K510" t="s">
        <v>986</v>
      </c>
      <c r="L510" t="s">
        <v>28</v>
      </c>
      <c r="M510" t="s">
        <v>987</v>
      </c>
      <c r="N510" t="s">
        <v>25</v>
      </c>
      <c r="O510" t="s">
        <v>1000</v>
      </c>
      <c r="P510" t="s">
        <v>23</v>
      </c>
      <c r="AG510" t="s">
        <v>629</v>
      </c>
      <c r="AH510" t="s">
        <v>630</v>
      </c>
      <c r="AI510" t="s">
        <v>353</v>
      </c>
      <c r="AJ510" t="s">
        <v>1000</v>
      </c>
      <c r="AK510" s="1">
        <v>-39314.199999999997</v>
      </c>
      <c r="AL510" s="1">
        <v>0</v>
      </c>
      <c r="AM510" s="1">
        <v>-39314.199999999997</v>
      </c>
      <c r="AN510" s="1">
        <v>-19657.099999999999</v>
      </c>
      <c r="AO510" s="1">
        <v>0</v>
      </c>
      <c r="AP510" s="1">
        <v>-19657.099999999999</v>
      </c>
      <c r="AQ510" s="1">
        <v>-14528.34</v>
      </c>
      <c r="AR510" s="1">
        <v>0</v>
      </c>
      <c r="AS510" s="1">
        <v>-14528.34</v>
      </c>
      <c r="AT510" s="1">
        <v>0</v>
      </c>
      <c r="BA510" s="195"/>
      <c r="BB510" s="195"/>
      <c r="BC510" s="195"/>
      <c r="BD510" s="195"/>
      <c r="BE510" s="195"/>
      <c r="BF510" s="195"/>
      <c r="BG510" s="195"/>
      <c r="BH510" s="195"/>
      <c r="BI510" s="195"/>
    </row>
    <row r="511" spans="1:61" x14ac:dyDescent="0.25">
      <c r="A511" t="s">
        <v>343</v>
      </c>
      <c r="B511" t="s">
        <v>344</v>
      </c>
      <c r="C511" t="s">
        <v>982</v>
      </c>
      <c r="D511" t="s">
        <v>45</v>
      </c>
      <c r="E511" t="s">
        <v>983</v>
      </c>
      <c r="F511" t="s">
        <v>42</v>
      </c>
      <c r="G511" t="s">
        <v>984</v>
      </c>
      <c r="H511" t="s">
        <v>36</v>
      </c>
      <c r="I511" t="s">
        <v>985</v>
      </c>
      <c r="J511" t="s">
        <v>32</v>
      </c>
      <c r="K511" t="s">
        <v>986</v>
      </c>
      <c r="L511" t="s">
        <v>28</v>
      </c>
      <c r="M511" t="s">
        <v>987</v>
      </c>
      <c r="N511" t="s">
        <v>25</v>
      </c>
      <c r="O511" t="s">
        <v>1000</v>
      </c>
      <c r="P511" t="s">
        <v>23</v>
      </c>
      <c r="AG511" t="s">
        <v>631</v>
      </c>
      <c r="AH511" t="s">
        <v>632</v>
      </c>
      <c r="AI511" t="s">
        <v>353</v>
      </c>
      <c r="AJ511" t="s">
        <v>1000</v>
      </c>
      <c r="AK511" s="1">
        <v>-22495.42</v>
      </c>
      <c r="AL511" s="1">
        <v>0</v>
      </c>
      <c r="AM511" s="1">
        <v>-22495.42</v>
      </c>
      <c r="AN511" s="1">
        <v>-11247.71</v>
      </c>
      <c r="AO511" s="1">
        <v>0</v>
      </c>
      <c r="AP511" s="1">
        <v>-11247.71</v>
      </c>
      <c r="AQ511" s="1">
        <v>-14369.95</v>
      </c>
      <c r="AR511" s="1">
        <v>0</v>
      </c>
      <c r="AS511" s="1">
        <v>-14369.95</v>
      </c>
      <c r="AT511" s="1">
        <v>0</v>
      </c>
      <c r="BA511" s="195"/>
      <c r="BB511" s="195"/>
      <c r="BC511" s="195"/>
      <c r="BD511" s="195"/>
      <c r="BE511" s="195"/>
      <c r="BF511" s="195"/>
      <c r="BG511" s="195"/>
      <c r="BH511" s="195"/>
      <c r="BI511" s="195"/>
    </row>
    <row r="512" spans="1:61" x14ac:dyDescent="0.25">
      <c r="A512" t="s">
        <v>343</v>
      </c>
      <c r="B512" t="s">
        <v>344</v>
      </c>
      <c r="C512" t="s">
        <v>982</v>
      </c>
      <c r="D512" t="s">
        <v>45</v>
      </c>
      <c r="E512" t="s">
        <v>983</v>
      </c>
      <c r="F512" t="s">
        <v>42</v>
      </c>
      <c r="G512" t="s">
        <v>984</v>
      </c>
      <c r="H512" t="s">
        <v>36</v>
      </c>
      <c r="I512" t="s">
        <v>985</v>
      </c>
      <c r="J512" t="s">
        <v>32</v>
      </c>
      <c r="K512" t="s">
        <v>986</v>
      </c>
      <c r="L512" t="s">
        <v>28</v>
      </c>
      <c r="M512" t="s">
        <v>987</v>
      </c>
      <c r="N512" t="s">
        <v>25</v>
      </c>
      <c r="O512" t="s">
        <v>1000</v>
      </c>
      <c r="P512" t="s">
        <v>23</v>
      </c>
      <c r="AG512" t="s">
        <v>633</v>
      </c>
      <c r="AH512" t="s">
        <v>634</v>
      </c>
      <c r="AI512" t="s">
        <v>353</v>
      </c>
      <c r="AJ512" t="s">
        <v>1000</v>
      </c>
      <c r="AK512" s="1">
        <v>-220742.54</v>
      </c>
      <c r="AL512" s="1">
        <v>0</v>
      </c>
      <c r="AM512" s="1">
        <v>-220742.54</v>
      </c>
      <c r="AN512" s="1">
        <v>-110371.27</v>
      </c>
      <c r="AO512" s="1">
        <v>0</v>
      </c>
      <c r="AP512" s="1">
        <v>-110371.27</v>
      </c>
      <c r="AQ512" s="1">
        <v>-93434.92</v>
      </c>
      <c r="AR512" s="1">
        <v>0</v>
      </c>
      <c r="AS512" s="1">
        <v>-93434.92</v>
      </c>
      <c r="AT512" s="1">
        <v>0</v>
      </c>
      <c r="BA512" s="195"/>
      <c r="BB512" s="195"/>
      <c r="BC512" s="195"/>
      <c r="BD512" s="195"/>
      <c r="BE512" s="195"/>
      <c r="BF512" s="195"/>
      <c r="BG512" s="195"/>
      <c r="BH512" s="195"/>
      <c r="BI512" s="195"/>
    </row>
    <row r="513" spans="1:61" x14ac:dyDescent="0.25">
      <c r="A513" t="s">
        <v>343</v>
      </c>
      <c r="B513" t="s">
        <v>344</v>
      </c>
      <c r="C513" t="s">
        <v>982</v>
      </c>
      <c r="D513" t="s">
        <v>45</v>
      </c>
      <c r="E513" t="s">
        <v>983</v>
      </c>
      <c r="F513" t="s">
        <v>42</v>
      </c>
      <c r="G513" t="s">
        <v>984</v>
      </c>
      <c r="H513" t="s">
        <v>36</v>
      </c>
      <c r="I513" t="s">
        <v>985</v>
      </c>
      <c r="J513" t="s">
        <v>32</v>
      </c>
      <c r="K513" t="s">
        <v>986</v>
      </c>
      <c r="L513" t="s">
        <v>28</v>
      </c>
      <c r="M513" t="s">
        <v>987</v>
      </c>
      <c r="N513" t="s">
        <v>25</v>
      </c>
      <c r="O513" t="s">
        <v>1000</v>
      </c>
      <c r="P513" t="s">
        <v>23</v>
      </c>
      <c r="AG513" t="s">
        <v>635</v>
      </c>
      <c r="AH513" t="s">
        <v>636</v>
      </c>
      <c r="AI513" t="s">
        <v>353</v>
      </c>
      <c r="AJ513" t="s">
        <v>1000</v>
      </c>
      <c r="AK513" s="1">
        <v>-7476.82</v>
      </c>
      <c r="AL513" s="1">
        <v>0</v>
      </c>
      <c r="AM513" s="1">
        <v>-7476.82</v>
      </c>
      <c r="AN513" s="1">
        <v>-3738.41</v>
      </c>
      <c r="AO513" s="1">
        <v>0</v>
      </c>
      <c r="AP513" s="1">
        <v>-3738.41</v>
      </c>
      <c r="AQ513" s="1">
        <v>-2618.91</v>
      </c>
      <c r="AR513" s="1">
        <v>0</v>
      </c>
      <c r="AS513" s="1">
        <v>-2618.91</v>
      </c>
      <c r="AT513" s="1">
        <v>0</v>
      </c>
      <c r="BA513" s="195"/>
      <c r="BB513" s="195"/>
      <c r="BC513" s="195"/>
      <c r="BD513" s="195"/>
      <c r="BE513" s="195"/>
      <c r="BF513" s="195"/>
      <c r="BG513" s="195"/>
      <c r="BH513" s="195"/>
      <c r="BI513" s="195"/>
    </row>
    <row r="514" spans="1:61" x14ac:dyDescent="0.25">
      <c r="A514" t="s">
        <v>343</v>
      </c>
      <c r="B514" t="s">
        <v>344</v>
      </c>
      <c r="C514" t="s">
        <v>982</v>
      </c>
      <c r="D514" t="s">
        <v>45</v>
      </c>
      <c r="E514" t="s">
        <v>983</v>
      </c>
      <c r="F514" t="s">
        <v>42</v>
      </c>
      <c r="G514" t="s">
        <v>984</v>
      </c>
      <c r="H514" t="s">
        <v>36</v>
      </c>
      <c r="I514" t="s">
        <v>985</v>
      </c>
      <c r="J514" t="s">
        <v>32</v>
      </c>
      <c r="K514" t="s">
        <v>986</v>
      </c>
      <c r="L514" t="s">
        <v>28</v>
      </c>
      <c r="M514" t="s">
        <v>987</v>
      </c>
      <c r="N514" t="s">
        <v>25</v>
      </c>
      <c r="O514" t="s">
        <v>1000</v>
      </c>
      <c r="P514" t="s">
        <v>23</v>
      </c>
      <c r="AG514" t="s">
        <v>637</v>
      </c>
      <c r="AH514" t="s">
        <v>638</v>
      </c>
      <c r="AI514" t="s">
        <v>353</v>
      </c>
      <c r="AJ514" t="s">
        <v>1000</v>
      </c>
      <c r="AK514" s="1">
        <v>-70768.740000000005</v>
      </c>
      <c r="AL514" s="1">
        <v>0</v>
      </c>
      <c r="AM514" s="1">
        <v>-70768.740000000005</v>
      </c>
      <c r="AN514" s="1">
        <v>-35384.370000000003</v>
      </c>
      <c r="AO514" s="1">
        <v>0</v>
      </c>
      <c r="AP514" s="1">
        <v>-35384.370000000003</v>
      </c>
      <c r="AQ514" s="1">
        <v>-118855.35</v>
      </c>
      <c r="AR514" s="1">
        <v>0</v>
      </c>
      <c r="AS514" s="1">
        <v>-118855.35</v>
      </c>
      <c r="AT514" s="1">
        <v>0</v>
      </c>
      <c r="BA514" s="195"/>
      <c r="BB514" s="195"/>
      <c r="BC514" s="195"/>
      <c r="BD514" s="195"/>
      <c r="BE514" s="195"/>
      <c r="BF514" s="195"/>
      <c r="BG514" s="195"/>
      <c r="BH514" s="195"/>
      <c r="BI514" s="195"/>
    </row>
    <row r="515" spans="1:61" x14ac:dyDescent="0.25">
      <c r="A515" t="s">
        <v>343</v>
      </c>
      <c r="B515" t="s">
        <v>344</v>
      </c>
      <c r="C515" t="s">
        <v>982</v>
      </c>
      <c r="D515" t="s">
        <v>45</v>
      </c>
      <c r="E515" t="s">
        <v>983</v>
      </c>
      <c r="F515" t="s">
        <v>42</v>
      </c>
      <c r="G515" t="s">
        <v>984</v>
      </c>
      <c r="H515" t="s">
        <v>36</v>
      </c>
      <c r="I515" t="s">
        <v>985</v>
      </c>
      <c r="J515" t="s">
        <v>32</v>
      </c>
      <c r="K515" t="s">
        <v>986</v>
      </c>
      <c r="L515" t="s">
        <v>28</v>
      </c>
      <c r="M515" t="s">
        <v>987</v>
      </c>
      <c r="N515" t="s">
        <v>25</v>
      </c>
      <c r="O515" t="s">
        <v>1000</v>
      </c>
      <c r="P515" t="s">
        <v>23</v>
      </c>
      <c r="AG515" t="s">
        <v>639</v>
      </c>
      <c r="AH515" t="s">
        <v>640</v>
      </c>
      <c r="AI515" t="s">
        <v>353</v>
      </c>
      <c r="AJ515" t="s">
        <v>1000</v>
      </c>
      <c r="AK515" s="1">
        <v>-860</v>
      </c>
      <c r="AL515" s="1">
        <v>0</v>
      </c>
      <c r="AM515" s="1">
        <v>-860</v>
      </c>
      <c r="AN515" s="1">
        <v>-430</v>
      </c>
      <c r="AO515" s="1">
        <v>0</v>
      </c>
      <c r="AP515" s="1">
        <v>-430</v>
      </c>
      <c r="AQ515" s="1">
        <v>-430</v>
      </c>
      <c r="AR515" s="1">
        <v>0</v>
      </c>
      <c r="AS515" s="1">
        <v>-430</v>
      </c>
      <c r="AT515" s="1">
        <v>0</v>
      </c>
      <c r="BA515" s="195"/>
      <c r="BB515" s="195"/>
      <c r="BC515" s="195"/>
      <c r="BD515" s="195"/>
      <c r="BE515" s="195"/>
      <c r="BF515" s="195"/>
      <c r="BG515" s="195"/>
      <c r="BH515" s="195"/>
      <c r="BI515" s="195"/>
    </row>
    <row r="516" spans="1:61" x14ac:dyDescent="0.25">
      <c r="A516" t="s">
        <v>343</v>
      </c>
      <c r="B516" t="s">
        <v>344</v>
      </c>
      <c r="C516" t="s">
        <v>982</v>
      </c>
      <c r="D516" t="s">
        <v>45</v>
      </c>
      <c r="E516" t="s">
        <v>983</v>
      </c>
      <c r="F516" t="s">
        <v>42</v>
      </c>
      <c r="G516" t="s">
        <v>984</v>
      </c>
      <c r="H516" t="s">
        <v>36</v>
      </c>
      <c r="I516" t="s">
        <v>985</v>
      </c>
      <c r="J516" t="s">
        <v>32</v>
      </c>
      <c r="K516" t="s">
        <v>986</v>
      </c>
      <c r="L516" t="s">
        <v>28</v>
      </c>
      <c r="M516" t="s">
        <v>1001</v>
      </c>
      <c r="N516" t="s">
        <v>1002</v>
      </c>
      <c r="AG516" t="s">
        <v>793</v>
      </c>
      <c r="AH516" t="s">
        <v>794</v>
      </c>
      <c r="AI516" t="s">
        <v>353</v>
      </c>
      <c r="AJ516" t="s">
        <v>1001</v>
      </c>
      <c r="AK516" s="1">
        <v>25000</v>
      </c>
      <c r="AL516" s="1">
        <v>0</v>
      </c>
      <c r="AM516" s="1">
        <v>25000</v>
      </c>
      <c r="AN516" s="1">
        <v>12500</v>
      </c>
      <c r="AO516" s="1">
        <v>0</v>
      </c>
      <c r="AP516" s="1">
        <v>12500</v>
      </c>
      <c r="AQ516" s="1">
        <v>0</v>
      </c>
      <c r="AR516" s="1">
        <v>0</v>
      </c>
      <c r="AS516" s="1">
        <v>0</v>
      </c>
      <c r="AT516" s="1">
        <v>0</v>
      </c>
      <c r="BA516" s="195"/>
      <c r="BB516" s="195"/>
      <c r="BC516" s="195"/>
      <c r="BD516" s="195"/>
      <c r="BE516" s="195"/>
      <c r="BF516" s="195"/>
      <c r="BG516" s="195"/>
      <c r="BH516" s="195"/>
      <c r="BI516" s="195"/>
    </row>
    <row r="517" spans="1:61" x14ac:dyDescent="0.25">
      <c r="A517" t="s">
        <v>343</v>
      </c>
      <c r="B517" t="s">
        <v>344</v>
      </c>
      <c r="C517" t="s">
        <v>982</v>
      </c>
      <c r="D517" t="s">
        <v>45</v>
      </c>
      <c r="E517" t="s">
        <v>983</v>
      </c>
      <c r="F517" t="s">
        <v>42</v>
      </c>
      <c r="G517" t="s">
        <v>984</v>
      </c>
      <c r="H517" t="s">
        <v>36</v>
      </c>
      <c r="I517" t="s">
        <v>985</v>
      </c>
      <c r="J517" t="s">
        <v>32</v>
      </c>
      <c r="K517" t="s">
        <v>986</v>
      </c>
      <c r="L517" t="s">
        <v>28</v>
      </c>
      <c r="M517" t="s">
        <v>1003</v>
      </c>
      <c r="N517" t="s">
        <v>26</v>
      </c>
      <c r="AG517" t="s">
        <v>641</v>
      </c>
      <c r="AH517" t="s">
        <v>642</v>
      </c>
      <c r="AI517" t="s">
        <v>353</v>
      </c>
      <c r="AJ517" t="s">
        <v>1003</v>
      </c>
      <c r="AK517" s="1">
        <v>-78978.52</v>
      </c>
      <c r="AL517" s="1">
        <v>0</v>
      </c>
      <c r="AM517" s="1">
        <v>-78978.52</v>
      </c>
      <c r="AN517" s="1">
        <v>-39489.26</v>
      </c>
      <c r="AO517" s="1">
        <v>0</v>
      </c>
      <c r="AP517" s="1">
        <v>-39489.26</v>
      </c>
      <c r="AQ517" s="1">
        <v>-30584.35</v>
      </c>
      <c r="AR517" s="1">
        <v>0</v>
      </c>
      <c r="AS517" s="1">
        <v>-30584.35</v>
      </c>
      <c r="AT517" s="1">
        <v>0</v>
      </c>
      <c r="BA517" s="195"/>
      <c r="BB517" s="195"/>
      <c r="BC517" s="195"/>
      <c r="BD517" s="195"/>
      <c r="BE517" s="195"/>
      <c r="BF517" s="195"/>
      <c r="BG517" s="195"/>
      <c r="BH517" s="195"/>
      <c r="BI517" s="195"/>
    </row>
    <row r="518" spans="1:61" x14ac:dyDescent="0.25">
      <c r="A518" t="s">
        <v>343</v>
      </c>
      <c r="B518" t="s">
        <v>344</v>
      </c>
      <c r="C518" t="s">
        <v>982</v>
      </c>
      <c r="D518" t="s">
        <v>45</v>
      </c>
      <c r="E518" t="s">
        <v>983</v>
      </c>
      <c r="F518" t="s">
        <v>42</v>
      </c>
      <c r="G518" t="s">
        <v>984</v>
      </c>
      <c r="H518" t="s">
        <v>36</v>
      </c>
      <c r="I518" t="s">
        <v>985</v>
      </c>
      <c r="J518" t="s">
        <v>32</v>
      </c>
      <c r="K518" t="s">
        <v>986</v>
      </c>
      <c r="L518" t="s">
        <v>28</v>
      </c>
      <c r="M518" t="s">
        <v>1003</v>
      </c>
      <c r="N518" t="s">
        <v>26</v>
      </c>
      <c r="AG518" t="s">
        <v>643</v>
      </c>
      <c r="AH518" t="s">
        <v>644</v>
      </c>
      <c r="AI518" t="s">
        <v>353</v>
      </c>
      <c r="AJ518" t="s">
        <v>1003</v>
      </c>
      <c r="AK518" s="1">
        <v>-30688.1</v>
      </c>
      <c r="AL518" s="1">
        <v>0</v>
      </c>
      <c r="AM518" s="1">
        <v>-30688.1</v>
      </c>
      <c r="AN518" s="1">
        <v>-15344.05</v>
      </c>
      <c r="AO518" s="1">
        <v>0</v>
      </c>
      <c r="AP518" s="1">
        <v>-15344.05</v>
      </c>
      <c r="AQ518" s="1">
        <v>-16287.98</v>
      </c>
      <c r="AR518" s="1">
        <v>0</v>
      </c>
      <c r="AS518" s="1">
        <v>-16287.98</v>
      </c>
      <c r="AT518" s="1">
        <v>0</v>
      </c>
      <c r="BA518" s="195"/>
      <c r="BB518" s="195"/>
      <c r="BC518" s="195"/>
      <c r="BD518" s="195"/>
      <c r="BE518" s="195"/>
      <c r="BF518" s="195"/>
      <c r="BG518" s="195"/>
      <c r="BH518" s="195"/>
      <c r="BI518" s="195"/>
    </row>
    <row r="519" spans="1:61" x14ac:dyDescent="0.25">
      <c r="A519" t="s">
        <v>343</v>
      </c>
      <c r="B519" t="s">
        <v>344</v>
      </c>
      <c r="C519" t="s">
        <v>982</v>
      </c>
      <c r="D519" t="s">
        <v>45</v>
      </c>
      <c r="E519" t="s">
        <v>983</v>
      </c>
      <c r="F519" t="s">
        <v>42</v>
      </c>
      <c r="G519" t="s">
        <v>984</v>
      </c>
      <c r="H519" t="s">
        <v>36</v>
      </c>
      <c r="I519" t="s">
        <v>985</v>
      </c>
      <c r="J519" t="s">
        <v>32</v>
      </c>
      <c r="K519" t="s">
        <v>986</v>
      </c>
      <c r="L519" t="s">
        <v>28</v>
      </c>
      <c r="M519" t="s">
        <v>1003</v>
      </c>
      <c r="N519" t="s">
        <v>26</v>
      </c>
      <c r="AG519" t="s">
        <v>645</v>
      </c>
      <c r="AH519" t="s">
        <v>646</v>
      </c>
      <c r="AI519" t="s">
        <v>353</v>
      </c>
      <c r="AJ519" t="s">
        <v>1003</v>
      </c>
      <c r="AK519" s="1">
        <v>-38012.980000000003</v>
      </c>
      <c r="AL519" s="1">
        <v>0</v>
      </c>
      <c r="AM519" s="1">
        <v>-38012.980000000003</v>
      </c>
      <c r="AN519" s="1">
        <v>-19006.490000000002</v>
      </c>
      <c r="AO519" s="1">
        <v>0</v>
      </c>
      <c r="AP519" s="1">
        <v>-19006.490000000002</v>
      </c>
      <c r="AQ519" s="1">
        <v>-20268.87</v>
      </c>
      <c r="AR519" s="1">
        <v>0</v>
      </c>
      <c r="AS519" s="1">
        <v>-20268.87</v>
      </c>
      <c r="AT519" s="1">
        <v>0</v>
      </c>
      <c r="BA519" s="195"/>
      <c r="BB519" s="195"/>
      <c r="BC519" s="195"/>
      <c r="BD519" s="195"/>
      <c r="BE519" s="195"/>
      <c r="BF519" s="195"/>
      <c r="BG519" s="195"/>
      <c r="BH519" s="195"/>
      <c r="BI519" s="195"/>
    </row>
    <row r="520" spans="1:61" x14ac:dyDescent="0.25">
      <c r="A520" t="s">
        <v>343</v>
      </c>
      <c r="B520" t="s">
        <v>344</v>
      </c>
      <c r="C520" t="s">
        <v>982</v>
      </c>
      <c r="D520" t="s">
        <v>45</v>
      </c>
      <c r="E520" t="s">
        <v>983</v>
      </c>
      <c r="F520" t="s">
        <v>42</v>
      </c>
      <c r="G520" t="s">
        <v>984</v>
      </c>
      <c r="H520" t="s">
        <v>36</v>
      </c>
      <c r="I520" t="s">
        <v>985</v>
      </c>
      <c r="J520" t="s">
        <v>32</v>
      </c>
      <c r="K520" t="s">
        <v>986</v>
      </c>
      <c r="L520" t="s">
        <v>28</v>
      </c>
      <c r="M520" t="s">
        <v>1003</v>
      </c>
      <c r="N520" t="s">
        <v>26</v>
      </c>
      <c r="AG520" t="s">
        <v>647</v>
      </c>
      <c r="AH520" t="s">
        <v>648</v>
      </c>
      <c r="AI520" t="s">
        <v>353</v>
      </c>
      <c r="AJ520" t="s">
        <v>1003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-10.95</v>
      </c>
      <c r="AR520" s="1">
        <v>0</v>
      </c>
      <c r="AS520" s="1">
        <v>-10.95</v>
      </c>
      <c r="AT520" s="1">
        <v>0</v>
      </c>
      <c r="BA520" s="195"/>
      <c r="BB520" s="195"/>
      <c r="BC520" s="195"/>
      <c r="BD520" s="195"/>
      <c r="BE520" s="195"/>
      <c r="BF520" s="195"/>
      <c r="BG520" s="195"/>
      <c r="BH520" s="195"/>
      <c r="BI520" s="195"/>
    </row>
    <row r="521" spans="1:61" x14ac:dyDescent="0.25">
      <c r="A521" t="s">
        <v>343</v>
      </c>
      <c r="B521" t="s">
        <v>344</v>
      </c>
      <c r="C521" t="s">
        <v>982</v>
      </c>
      <c r="D521" t="s">
        <v>45</v>
      </c>
      <c r="E521" t="s">
        <v>983</v>
      </c>
      <c r="F521" t="s">
        <v>42</v>
      </c>
      <c r="G521" t="s">
        <v>984</v>
      </c>
      <c r="H521" t="s">
        <v>36</v>
      </c>
      <c r="I521" t="s">
        <v>985</v>
      </c>
      <c r="J521" t="s">
        <v>32</v>
      </c>
      <c r="K521" t="s">
        <v>986</v>
      </c>
      <c r="L521" t="s">
        <v>28</v>
      </c>
      <c r="M521" t="s">
        <v>1003</v>
      </c>
      <c r="N521" t="s">
        <v>26</v>
      </c>
      <c r="AG521" t="s">
        <v>649</v>
      </c>
      <c r="AH521" t="s">
        <v>648</v>
      </c>
      <c r="AI521" t="s">
        <v>353</v>
      </c>
      <c r="AJ521" t="s">
        <v>1003</v>
      </c>
      <c r="AK521" s="1">
        <v>-112582</v>
      </c>
      <c r="AL521" s="1">
        <v>0</v>
      </c>
      <c r="AM521" s="1">
        <v>-112582</v>
      </c>
      <c r="AN521" s="1">
        <v>-56291</v>
      </c>
      <c r="AO521" s="1">
        <v>0</v>
      </c>
      <c r="AP521" s="1">
        <v>-56291</v>
      </c>
      <c r="AQ521" s="1">
        <v>-60815</v>
      </c>
      <c r="AR521" s="1">
        <v>0</v>
      </c>
      <c r="AS521" s="1">
        <v>-60815</v>
      </c>
      <c r="AT521" s="1">
        <v>0</v>
      </c>
      <c r="BA521" s="195"/>
      <c r="BB521" s="195"/>
      <c r="BC521" s="195"/>
      <c r="BD521" s="195"/>
      <c r="BE521" s="195"/>
      <c r="BF521" s="195"/>
      <c r="BG521" s="195"/>
      <c r="BH521" s="195"/>
      <c r="BI521" s="195"/>
    </row>
    <row r="522" spans="1:61" x14ac:dyDescent="0.25">
      <c r="A522" t="s">
        <v>343</v>
      </c>
      <c r="B522" t="s">
        <v>344</v>
      </c>
      <c r="C522" t="s">
        <v>982</v>
      </c>
      <c r="D522" t="s">
        <v>45</v>
      </c>
      <c r="E522" t="s">
        <v>983</v>
      </c>
      <c r="F522" t="s">
        <v>42</v>
      </c>
      <c r="G522" t="s">
        <v>984</v>
      </c>
      <c r="H522" t="s">
        <v>36</v>
      </c>
      <c r="I522" t="s">
        <v>985</v>
      </c>
      <c r="J522" t="s">
        <v>32</v>
      </c>
      <c r="K522" t="s">
        <v>986</v>
      </c>
      <c r="L522" t="s">
        <v>28</v>
      </c>
      <c r="M522" t="s">
        <v>1003</v>
      </c>
      <c r="N522" t="s">
        <v>26</v>
      </c>
      <c r="AG522" t="s">
        <v>650</v>
      </c>
      <c r="AH522" t="s">
        <v>651</v>
      </c>
      <c r="AI522" t="s">
        <v>353</v>
      </c>
      <c r="AJ522" t="s">
        <v>1003</v>
      </c>
      <c r="AK522" s="1">
        <v>-876</v>
      </c>
      <c r="AL522" s="1">
        <v>0</v>
      </c>
      <c r="AM522" s="1">
        <v>-876</v>
      </c>
      <c r="AN522" s="1">
        <v>-438</v>
      </c>
      <c r="AO522" s="1">
        <v>0</v>
      </c>
      <c r="AP522" s="1">
        <v>-438</v>
      </c>
      <c r="AQ522" s="1">
        <v>0</v>
      </c>
      <c r="AR522" s="1">
        <v>0</v>
      </c>
      <c r="AS522" s="1">
        <v>0</v>
      </c>
      <c r="AT522" s="1">
        <v>0</v>
      </c>
      <c r="BA522" s="195"/>
      <c r="BB522" s="195"/>
      <c r="BC522" s="195"/>
      <c r="BD522" s="195"/>
      <c r="BE522" s="195"/>
      <c r="BF522" s="195"/>
      <c r="BG522" s="195"/>
      <c r="BH522" s="195"/>
      <c r="BI522" s="195"/>
    </row>
    <row r="523" spans="1:61" x14ac:dyDescent="0.25">
      <c r="A523" t="s">
        <v>343</v>
      </c>
      <c r="B523" t="s">
        <v>344</v>
      </c>
      <c r="C523" t="s">
        <v>982</v>
      </c>
      <c r="D523" t="s">
        <v>45</v>
      </c>
      <c r="E523" t="s">
        <v>983</v>
      </c>
      <c r="F523" t="s">
        <v>42</v>
      </c>
      <c r="G523" t="s">
        <v>984</v>
      </c>
      <c r="H523" t="s">
        <v>36</v>
      </c>
      <c r="I523" t="s">
        <v>985</v>
      </c>
      <c r="J523" t="s">
        <v>32</v>
      </c>
      <c r="K523" t="s">
        <v>986</v>
      </c>
      <c r="L523" t="s">
        <v>28</v>
      </c>
      <c r="M523" t="s">
        <v>1003</v>
      </c>
      <c r="N523" t="s">
        <v>26</v>
      </c>
      <c r="AG523" t="s">
        <v>652</v>
      </c>
      <c r="AH523" t="s">
        <v>653</v>
      </c>
      <c r="AI523" t="s">
        <v>353</v>
      </c>
      <c r="AJ523" t="s">
        <v>1003</v>
      </c>
      <c r="AK523" s="1">
        <v>-892</v>
      </c>
      <c r="AL523" s="1">
        <v>0</v>
      </c>
      <c r="AM523" s="1">
        <v>-892</v>
      </c>
      <c r="AN523" s="1">
        <v>-446</v>
      </c>
      <c r="AO523" s="1">
        <v>0</v>
      </c>
      <c r="AP523" s="1">
        <v>-446</v>
      </c>
      <c r="AQ523" s="1">
        <v>-629</v>
      </c>
      <c r="AR523" s="1">
        <v>0</v>
      </c>
      <c r="AS523" s="1">
        <v>-629</v>
      </c>
      <c r="AT523" s="1">
        <v>0</v>
      </c>
      <c r="BA523" s="195"/>
      <c r="BB523" s="195"/>
      <c r="BC523" s="195"/>
      <c r="BD523" s="195"/>
      <c r="BE523" s="195"/>
      <c r="BF523" s="195"/>
      <c r="BG523" s="195"/>
      <c r="BH523" s="195"/>
      <c r="BI523" s="195"/>
    </row>
    <row r="524" spans="1:61" x14ac:dyDescent="0.25">
      <c r="A524" t="s">
        <v>343</v>
      </c>
      <c r="B524" t="s">
        <v>344</v>
      </c>
      <c r="C524" t="s">
        <v>982</v>
      </c>
      <c r="D524" t="s">
        <v>45</v>
      </c>
      <c r="E524" t="s">
        <v>983</v>
      </c>
      <c r="F524" t="s">
        <v>42</v>
      </c>
      <c r="G524" t="s">
        <v>984</v>
      </c>
      <c r="H524" t="s">
        <v>36</v>
      </c>
      <c r="I524" t="s">
        <v>985</v>
      </c>
      <c r="J524" t="s">
        <v>32</v>
      </c>
      <c r="K524" t="s">
        <v>986</v>
      </c>
      <c r="L524" t="s">
        <v>28</v>
      </c>
      <c r="M524" t="s">
        <v>1003</v>
      </c>
      <c r="N524" t="s">
        <v>26</v>
      </c>
      <c r="AG524" t="s">
        <v>654</v>
      </c>
      <c r="AH524" t="s">
        <v>655</v>
      </c>
      <c r="AI524" t="s">
        <v>353</v>
      </c>
      <c r="AJ524" t="s">
        <v>1003</v>
      </c>
      <c r="AK524" s="1">
        <v>-8924.64</v>
      </c>
      <c r="AL524" s="1">
        <v>0</v>
      </c>
      <c r="AM524" s="1">
        <v>-8924.64</v>
      </c>
      <c r="AN524" s="1">
        <v>-4462.32</v>
      </c>
      <c r="AO524" s="1">
        <v>0</v>
      </c>
      <c r="AP524" s="1">
        <v>-4462.32</v>
      </c>
      <c r="AQ524" s="1">
        <v>-6859.94</v>
      </c>
      <c r="AR524" s="1">
        <v>0</v>
      </c>
      <c r="AS524" s="1">
        <v>-6859.94</v>
      </c>
      <c r="AT524" s="1">
        <v>0</v>
      </c>
      <c r="BA524" s="195"/>
      <c r="BB524" s="195"/>
      <c r="BC524" s="195"/>
      <c r="BD524" s="195"/>
      <c r="BE524" s="195"/>
      <c r="BF524" s="195"/>
      <c r="BG524" s="195"/>
      <c r="BH524" s="195"/>
      <c r="BI524" s="195"/>
    </row>
    <row r="525" spans="1:61" x14ac:dyDescent="0.25">
      <c r="A525" t="s">
        <v>343</v>
      </c>
      <c r="B525" t="s">
        <v>344</v>
      </c>
      <c r="C525" t="s">
        <v>982</v>
      </c>
      <c r="D525" t="s">
        <v>45</v>
      </c>
      <c r="E525" t="s">
        <v>983</v>
      </c>
      <c r="F525" t="s">
        <v>42</v>
      </c>
      <c r="G525" t="s">
        <v>984</v>
      </c>
      <c r="H525" t="s">
        <v>36</v>
      </c>
      <c r="I525" t="s">
        <v>985</v>
      </c>
      <c r="J525" t="s">
        <v>32</v>
      </c>
      <c r="K525" t="s">
        <v>986</v>
      </c>
      <c r="L525" t="s">
        <v>28</v>
      </c>
      <c r="M525" t="s">
        <v>1003</v>
      </c>
      <c r="N525" t="s">
        <v>26</v>
      </c>
      <c r="AG525" t="s">
        <v>656</v>
      </c>
      <c r="AH525" t="s">
        <v>657</v>
      </c>
      <c r="AI525" t="s">
        <v>353</v>
      </c>
      <c r="AJ525" t="s">
        <v>1003</v>
      </c>
      <c r="AK525" s="1">
        <v>-30824</v>
      </c>
      <c r="AL525" s="1">
        <v>0</v>
      </c>
      <c r="AM525" s="1">
        <v>-30824</v>
      </c>
      <c r="AN525" s="1">
        <v>-15412</v>
      </c>
      <c r="AO525" s="1">
        <v>0</v>
      </c>
      <c r="AP525" s="1">
        <v>-15412</v>
      </c>
      <c r="AQ525" s="1">
        <v>-16741.900000000001</v>
      </c>
      <c r="AR525" s="1">
        <v>0</v>
      </c>
      <c r="AS525" s="1">
        <v>-16741.900000000001</v>
      </c>
      <c r="AT525" s="1">
        <v>0</v>
      </c>
      <c r="BA525" s="195"/>
      <c r="BB525" s="195"/>
      <c r="BC525" s="195"/>
      <c r="BD525" s="195"/>
      <c r="BE525" s="195"/>
      <c r="BF525" s="195"/>
      <c r="BG525" s="195"/>
      <c r="BH525" s="195"/>
      <c r="BI525" s="195"/>
    </row>
    <row r="526" spans="1:61" x14ac:dyDescent="0.25">
      <c r="A526" t="s">
        <v>343</v>
      </c>
      <c r="B526" t="s">
        <v>344</v>
      </c>
      <c r="C526" t="s">
        <v>982</v>
      </c>
      <c r="D526" t="s">
        <v>45</v>
      </c>
      <c r="E526" t="s">
        <v>983</v>
      </c>
      <c r="F526" t="s">
        <v>42</v>
      </c>
      <c r="G526" t="s">
        <v>984</v>
      </c>
      <c r="H526" t="s">
        <v>36</v>
      </c>
      <c r="I526" t="s">
        <v>985</v>
      </c>
      <c r="J526" t="s">
        <v>32</v>
      </c>
      <c r="K526" t="s">
        <v>986</v>
      </c>
      <c r="L526" t="s">
        <v>28</v>
      </c>
      <c r="M526" t="s">
        <v>1003</v>
      </c>
      <c r="N526" t="s">
        <v>26</v>
      </c>
      <c r="AG526" t="s">
        <v>658</v>
      </c>
      <c r="AH526" t="s">
        <v>659</v>
      </c>
      <c r="AI526" t="s">
        <v>353</v>
      </c>
      <c r="AJ526" t="s">
        <v>1003</v>
      </c>
      <c r="AK526" s="1">
        <v>-25170</v>
      </c>
      <c r="AL526" s="1">
        <v>0</v>
      </c>
      <c r="AM526" s="1">
        <v>-25170</v>
      </c>
      <c r="AN526" s="1">
        <v>-12585</v>
      </c>
      <c r="AO526" s="1">
        <v>0</v>
      </c>
      <c r="AP526" s="1">
        <v>-12585</v>
      </c>
      <c r="AQ526" s="1">
        <v>-10245</v>
      </c>
      <c r="AR526" s="1">
        <v>0</v>
      </c>
      <c r="AS526" s="1">
        <v>-10245</v>
      </c>
      <c r="AT526" s="1">
        <v>0</v>
      </c>
      <c r="BA526" s="195"/>
      <c r="BB526" s="195"/>
      <c r="BC526" s="195"/>
      <c r="BD526" s="195"/>
      <c r="BE526" s="195"/>
      <c r="BF526" s="195"/>
      <c r="BG526" s="195"/>
      <c r="BH526" s="195"/>
      <c r="BI526" s="195"/>
    </row>
    <row r="527" spans="1:61" x14ac:dyDescent="0.25">
      <c r="A527" t="s">
        <v>343</v>
      </c>
      <c r="B527" t="s">
        <v>344</v>
      </c>
      <c r="C527" t="s">
        <v>982</v>
      </c>
      <c r="D527" t="s">
        <v>45</v>
      </c>
      <c r="E527" t="s">
        <v>983</v>
      </c>
      <c r="F527" t="s">
        <v>42</v>
      </c>
      <c r="G527" t="s">
        <v>984</v>
      </c>
      <c r="H527" t="s">
        <v>36</v>
      </c>
      <c r="I527" t="s">
        <v>985</v>
      </c>
      <c r="J527" t="s">
        <v>32</v>
      </c>
      <c r="K527" t="s">
        <v>986</v>
      </c>
      <c r="L527" t="s">
        <v>28</v>
      </c>
      <c r="M527" t="s">
        <v>1004</v>
      </c>
      <c r="N527" t="s">
        <v>27</v>
      </c>
      <c r="AG527" t="s">
        <v>660</v>
      </c>
      <c r="AH527" t="s">
        <v>661</v>
      </c>
      <c r="AI527" t="s">
        <v>353</v>
      </c>
      <c r="AJ527" t="s">
        <v>1004</v>
      </c>
      <c r="AK527" s="1">
        <v>-6150621.6200000001</v>
      </c>
      <c r="AL527" s="1">
        <v>0</v>
      </c>
      <c r="AM527" s="1">
        <v>-6150621.6200000001</v>
      </c>
      <c r="AN527" s="1">
        <v>-3075310.81</v>
      </c>
      <c r="AO527" s="1">
        <v>0</v>
      </c>
      <c r="AP527" s="1">
        <v>-3075310.81</v>
      </c>
      <c r="AQ527" s="1">
        <v>-3273091.66</v>
      </c>
      <c r="AR527" s="1">
        <v>0</v>
      </c>
      <c r="AS527" s="1">
        <v>-3273091.66</v>
      </c>
      <c r="AT527" s="1">
        <v>0</v>
      </c>
      <c r="BA527" s="195"/>
      <c r="BB527" s="195"/>
      <c r="BC527" s="195"/>
      <c r="BD527" s="195"/>
      <c r="BE527" s="195"/>
      <c r="BF527" s="195"/>
      <c r="BG527" s="195"/>
      <c r="BH527" s="195"/>
      <c r="BI527" s="195"/>
    </row>
    <row r="528" spans="1:61" x14ac:dyDescent="0.25">
      <c r="A528" t="s">
        <v>343</v>
      </c>
      <c r="B528" t="s">
        <v>344</v>
      </c>
      <c r="C528" t="s">
        <v>982</v>
      </c>
      <c r="D528" t="s">
        <v>45</v>
      </c>
      <c r="E528" t="s">
        <v>983</v>
      </c>
      <c r="F528" t="s">
        <v>42</v>
      </c>
      <c r="G528" t="s">
        <v>984</v>
      </c>
      <c r="H528" t="s">
        <v>36</v>
      </c>
      <c r="I528" t="s">
        <v>985</v>
      </c>
      <c r="J528" t="s">
        <v>32</v>
      </c>
      <c r="K528" t="s">
        <v>986</v>
      </c>
      <c r="L528" t="s">
        <v>28</v>
      </c>
      <c r="M528" t="s">
        <v>1004</v>
      </c>
      <c r="N528" t="s">
        <v>27</v>
      </c>
      <c r="AG528" t="s">
        <v>662</v>
      </c>
      <c r="AH528" t="s">
        <v>663</v>
      </c>
      <c r="AI528" t="s">
        <v>353</v>
      </c>
      <c r="AJ528" t="s">
        <v>1004</v>
      </c>
      <c r="AK528" s="1">
        <v>-136698.82</v>
      </c>
      <c r="AL528" s="1">
        <v>0</v>
      </c>
      <c r="AM528" s="1">
        <v>-136698.82</v>
      </c>
      <c r="AN528" s="1">
        <v>-68349.41</v>
      </c>
      <c r="AO528" s="1">
        <v>0</v>
      </c>
      <c r="AP528" s="1">
        <v>-68349.41</v>
      </c>
      <c r="AQ528" s="1">
        <v>-110238.54</v>
      </c>
      <c r="AR528" s="1">
        <v>0</v>
      </c>
      <c r="AS528" s="1">
        <v>-110238.54</v>
      </c>
      <c r="AT528" s="1">
        <v>0</v>
      </c>
      <c r="BA528" s="195"/>
      <c r="BB528" s="195"/>
      <c r="BC528" s="195"/>
      <c r="BD528" s="195"/>
      <c r="BE528" s="195"/>
      <c r="BF528" s="195"/>
      <c r="BG528" s="195"/>
      <c r="BH528" s="195"/>
      <c r="BI528" s="195"/>
    </row>
    <row r="529" spans="1:61" x14ac:dyDescent="0.25">
      <c r="A529" t="s">
        <v>343</v>
      </c>
      <c r="B529" t="s">
        <v>344</v>
      </c>
      <c r="C529" t="s">
        <v>982</v>
      </c>
      <c r="D529" t="s">
        <v>45</v>
      </c>
      <c r="E529" t="s">
        <v>983</v>
      </c>
      <c r="F529" t="s">
        <v>42</v>
      </c>
      <c r="G529" t="s">
        <v>984</v>
      </c>
      <c r="H529" t="s">
        <v>36</v>
      </c>
      <c r="I529" t="s">
        <v>985</v>
      </c>
      <c r="J529" t="s">
        <v>32</v>
      </c>
      <c r="K529" t="s">
        <v>986</v>
      </c>
      <c r="L529" t="s">
        <v>28</v>
      </c>
      <c r="M529" t="s">
        <v>1004</v>
      </c>
      <c r="N529" t="s">
        <v>27</v>
      </c>
      <c r="AG529" t="s">
        <v>664</v>
      </c>
      <c r="AH529" t="s">
        <v>665</v>
      </c>
      <c r="AI529" t="s">
        <v>353</v>
      </c>
      <c r="AJ529" t="s">
        <v>1004</v>
      </c>
      <c r="AK529" s="1">
        <v>-632055.74</v>
      </c>
      <c r="AL529" s="1">
        <v>0</v>
      </c>
      <c r="AM529" s="1">
        <v>-632055.74</v>
      </c>
      <c r="AN529" s="1">
        <v>-316027.87</v>
      </c>
      <c r="AO529" s="1">
        <v>0</v>
      </c>
      <c r="AP529" s="1">
        <v>-316027.87</v>
      </c>
      <c r="AQ529" s="1">
        <v>-271959</v>
      </c>
      <c r="AR529" s="1">
        <v>0</v>
      </c>
      <c r="AS529" s="1">
        <v>-271959</v>
      </c>
      <c r="AT529" s="1">
        <v>0</v>
      </c>
      <c r="BA529" s="195"/>
      <c r="BB529" s="195"/>
      <c r="BC529" s="195"/>
      <c r="BD529" s="195"/>
      <c r="BE529" s="195"/>
      <c r="BF529" s="195"/>
      <c r="BG529" s="195"/>
      <c r="BH529" s="195"/>
      <c r="BI529" s="195"/>
    </row>
    <row r="530" spans="1:61" x14ac:dyDescent="0.25">
      <c r="A530" t="s">
        <v>343</v>
      </c>
      <c r="B530" t="s">
        <v>344</v>
      </c>
      <c r="C530" t="s">
        <v>982</v>
      </c>
      <c r="D530" t="s">
        <v>45</v>
      </c>
      <c r="E530" t="s">
        <v>983</v>
      </c>
      <c r="F530" t="s">
        <v>42</v>
      </c>
      <c r="G530" t="s">
        <v>984</v>
      </c>
      <c r="H530" t="s">
        <v>36</v>
      </c>
      <c r="I530" t="s">
        <v>985</v>
      </c>
      <c r="J530" t="s">
        <v>32</v>
      </c>
      <c r="K530" t="s">
        <v>986</v>
      </c>
      <c r="L530" t="s">
        <v>28</v>
      </c>
      <c r="M530" t="s">
        <v>1004</v>
      </c>
      <c r="N530" t="s">
        <v>27</v>
      </c>
      <c r="AG530" t="s">
        <v>666</v>
      </c>
      <c r="AH530" t="s">
        <v>667</v>
      </c>
      <c r="AI530" t="s">
        <v>353</v>
      </c>
      <c r="AJ530" t="s">
        <v>1004</v>
      </c>
      <c r="AK530" s="1">
        <v>1582.9</v>
      </c>
      <c r="AL530" s="1">
        <v>0</v>
      </c>
      <c r="AM530" s="1">
        <v>1582.9</v>
      </c>
      <c r="AN530" s="1">
        <v>791.45</v>
      </c>
      <c r="AO530" s="1">
        <v>0</v>
      </c>
      <c r="AP530" s="1">
        <v>791.45</v>
      </c>
      <c r="AQ530" s="1">
        <v>2192.36</v>
      </c>
      <c r="AR530" s="1">
        <v>0</v>
      </c>
      <c r="AS530" s="1">
        <v>2192.36</v>
      </c>
      <c r="AT530" s="1">
        <v>0</v>
      </c>
      <c r="BA530" s="195"/>
      <c r="BB530" s="195"/>
      <c r="BC530" s="195"/>
      <c r="BD530" s="195"/>
      <c r="BE530" s="195"/>
      <c r="BF530" s="195"/>
      <c r="BG530" s="195"/>
      <c r="BH530" s="195"/>
      <c r="BI530" s="195"/>
    </row>
    <row r="531" spans="1:61" x14ac:dyDescent="0.25">
      <c r="A531" t="s">
        <v>343</v>
      </c>
      <c r="B531" t="s">
        <v>344</v>
      </c>
      <c r="C531" t="s">
        <v>982</v>
      </c>
      <c r="D531" t="s">
        <v>45</v>
      </c>
      <c r="E531" t="s">
        <v>983</v>
      </c>
      <c r="F531" t="s">
        <v>42</v>
      </c>
      <c r="G531" t="s">
        <v>984</v>
      </c>
      <c r="H531" t="s">
        <v>36</v>
      </c>
      <c r="I531" t="s">
        <v>985</v>
      </c>
      <c r="J531" t="s">
        <v>32</v>
      </c>
      <c r="K531" t="s">
        <v>986</v>
      </c>
      <c r="L531" t="s">
        <v>28</v>
      </c>
      <c r="M531" t="s">
        <v>1004</v>
      </c>
      <c r="N531" t="s">
        <v>27</v>
      </c>
      <c r="AG531" t="s">
        <v>668</v>
      </c>
      <c r="AH531" t="s">
        <v>669</v>
      </c>
      <c r="AI531" t="s">
        <v>353</v>
      </c>
      <c r="AJ531" t="s">
        <v>1004</v>
      </c>
      <c r="AK531" s="1">
        <v>-16080.26</v>
      </c>
      <c r="AL531" s="1">
        <v>0</v>
      </c>
      <c r="AM531" s="1">
        <v>-16080.26</v>
      </c>
      <c r="AN531" s="1">
        <v>-8040.13</v>
      </c>
      <c r="AO531" s="1">
        <v>0</v>
      </c>
      <c r="AP531" s="1">
        <v>-8040.13</v>
      </c>
      <c r="AQ531" s="1">
        <v>-61300</v>
      </c>
      <c r="AR531" s="1">
        <v>0</v>
      </c>
      <c r="AS531" s="1">
        <v>-61300</v>
      </c>
      <c r="AT531" s="1">
        <v>0</v>
      </c>
      <c r="BA531" s="195"/>
      <c r="BB531" s="195"/>
      <c r="BC531" s="195"/>
      <c r="BD531" s="195"/>
      <c r="BE531" s="195"/>
      <c r="BF531" s="195"/>
      <c r="BG531" s="195"/>
      <c r="BH531" s="195"/>
      <c r="BI531" s="195"/>
    </row>
    <row r="532" spans="1:61" x14ac:dyDescent="0.25">
      <c r="A532" t="s">
        <v>343</v>
      </c>
      <c r="B532" t="s">
        <v>344</v>
      </c>
      <c r="C532" t="s">
        <v>982</v>
      </c>
      <c r="D532" t="s">
        <v>45</v>
      </c>
      <c r="E532" t="s">
        <v>983</v>
      </c>
      <c r="F532" t="s">
        <v>42</v>
      </c>
      <c r="G532" t="s">
        <v>984</v>
      </c>
      <c r="H532" t="s">
        <v>36</v>
      </c>
      <c r="I532" t="s">
        <v>985</v>
      </c>
      <c r="J532" t="s">
        <v>32</v>
      </c>
      <c r="K532" t="s">
        <v>986</v>
      </c>
      <c r="L532" t="s">
        <v>28</v>
      </c>
      <c r="M532" t="s">
        <v>1004</v>
      </c>
      <c r="N532" t="s">
        <v>27</v>
      </c>
      <c r="AG532" t="s">
        <v>670</v>
      </c>
      <c r="AH532" t="s">
        <v>671</v>
      </c>
      <c r="AI532" t="s">
        <v>353</v>
      </c>
      <c r="AJ532" t="s">
        <v>1004</v>
      </c>
      <c r="AK532" s="1">
        <v>-94000</v>
      </c>
      <c r="AL532" s="1">
        <v>0</v>
      </c>
      <c r="AM532" s="1">
        <v>-94000</v>
      </c>
      <c r="AN532" s="1">
        <v>-47000</v>
      </c>
      <c r="AO532" s="1">
        <v>0</v>
      </c>
      <c r="AP532" s="1">
        <v>-47000</v>
      </c>
      <c r="AQ532" s="1">
        <v>-71600</v>
      </c>
      <c r="AR532" s="1">
        <v>0</v>
      </c>
      <c r="AS532" s="1">
        <v>-71600</v>
      </c>
      <c r="AT532" s="1">
        <v>0</v>
      </c>
      <c r="BA532" s="195"/>
      <c r="BB532" s="195"/>
      <c r="BC532" s="195"/>
      <c r="BD532" s="195"/>
      <c r="BE532" s="195"/>
      <c r="BF532" s="195"/>
      <c r="BG532" s="195"/>
      <c r="BH532" s="195"/>
      <c r="BI532" s="195"/>
    </row>
    <row r="533" spans="1:61" x14ac:dyDescent="0.25">
      <c r="A533" t="s">
        <v>343</v>
      </c>
      <c r="B533" t="s">
        <v>344</v>
      </c>
      <c r="C533" t="s">
        <v>982</v>
      </c>
      <c r="D533" t="s">
        <v>45</v>
      </c>
      <c r="E533" t="s">
        <v>983</v>
      </c>
      <c r="F533" t="s">
        <v>42</v>
      </c>
      <c r="G533" t="s">
        <v>984</v>
      </c>
      <c r="H533" t="s">
        <v>36</v>
      </c>
      <c r="I533" t="s">
        <v>985</v>
      </c>
      <c r="J533" t="s">
        <v>32</v>
      </c>
      <c r="K533" t="s">
        <v>986</v>
      </c>
      <c r="L533" t="s">
        <v>28</v>
      </c>
      <c r="M533" t="s">
        <v>1004</v>
      </c>
      <c r="N533" t="s">
        <v>27</v>
      </c>
      <c r="AG533" t="s">
        <v>672</v>
      </c>
      <c r="AH533" t="s">
        <v>673</v>
      </c>
      <c r="AI533" t="s">
        <v>353</v>
      </c>
      <c r="AJ533" t="s">
        <v>1004</v>
      </c>
      <c r="AK533" s="1">
        <v>-984434.12</v>
      </c>
      <c r="AL533" s="1">
        <v>0</v>
      </c>
      <c r="AM533" s="1">
        <v>-984434.12</v>
      </c>
      <c r="AN533" s="1">
        <v>-492217.06</v>
      </c>
      <c r="AO533" s="1">
        <v>0</v>
      </c>
      <c r="AP533" s="1">
        <v>-492217.06</v>
      </c>
      <c r="AQ533" s="1">
        <v>-478729.65</v>
      </c>
      <c r="AR533" s="1">
        <v>0</v>
      </c>
      <c r="AS533" s="1">
        <v>-478729.65</v>
      </c>
      <c r="AT533" s="1">
        <v>0</v>
      </c>
      <c r="BA533" s="195"/>
      <c r="BB533" s="195"/>
      <c r="BC533" s="195"/>
      <c r="BD533" s="195"/>
      <c r="BE533" s="195"/>
      <c r="BF533" s="195"/>
      <c r="BG533" s="195"/>
      <c r="BH533" s="195"/>
      <c r="BI533" s="195"/>
    </row>
    <row r="534" spans="1:61" x14ac:dyDescent="0.25">
      <c r="A534" t="s">
        <v>343</v>
      </c>
      <c r="B534" t="s">
        <v>344</v>
      </c>
      <c r="C534" t="s">
        <v>982</v>
      </c>
      <c r="D534" t="s">
        <v>45</v>
      </c>
      <c r="E534" t="s">
        <v>983</v>
      </c>
      <c r="F534" t="s">
        <v>42</v>
      </c>
      <c r="G534" t="s">
        <v>984</v>
      </c>
      <c r="H534" t="s">
        <v>36</v>
      </c>
      <c r="I534" t="s">
        <v>985</v>
      </c>
      <c r="J534" t="s">
        <v>32</v>
      </c>
      <c r="K534" t="s">
        <v>986</v>
      </c>
      <c r="L534" t="s">
        <v>28</v>
      </c>
      <c r="M534" t="s">
        <v>1004</v>
      </c>
      <c r="N534" t="s">
        <v>27</v>
      </c>
      <c r="AG534" t="s">
        <v>674</v>
      </c>
      <c r="AH534" t="s">
        <v>675</v>
      </c>
      <c r="AI534" t="s">
        <v>353</v>
      </c>
      <c r="AJ534" t="s">
        <v>1004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-5522</v>
      </c>
      <c r="AR534" s="1">
        <v>0</v>
      </c>
      <c r="AS534" s="1">
        <v>-5522</v>
      </c>
      <c r="AT534" s="1">
        <v>0</v>
      </c>
      <c r="BA534" s="195"/>
      <c r="BB534" s="195"/>
      <c r="BC534" s="195"/>
      <c r="BD534" s="195"/>
      <c r="BE534" s="195"/>
      <c r="BF534" s="195"/>
      <c r="BG534" s="195"/>
      <c r="BH534" s="195"/>
      <c r="BI534" s="195"/>
    </row>
    <row r="535" spans="1:61" x14ac:dyDescent="0.25">
      <c r="A535" t="s">
        <v>343</v>
      </c>
      <c r="B535" t="s">
        <v>344</v>
      </c>
      <c r="C535" t="s">
        <v>982</v>
      </c>
      <c r="D535" t="s">
        <v>45</v>
      </c>
      <c r="E535" t="s">
        <v>983</v>
      </c>
      <c r="F535" t="s">
        <v>42</v>
      </c>
      <c r="G535" t="s">
        <v>984</v>
      </c>
      <c r="H535" t="s">
        <v>36</v>
      </c>
      <c r="I535" t="s">
        <v>985</v>
      </c>
      <c r="J535" t="s">
        <v>32</v>
      </c>
      <c r="K535" t="s">
        <v>986</v>
      </c>
      <c r="L535" t="s">
        <v>28</v>
      </c>
      <c r="M535" t="s">
        <v>1004</v>
      </c>
      <c r="N535" t="s">
        <v>27</v>
      </c>
      <c r="AG535" t="s">
        <v>676</v>
      </c>
      <c r="AH535" t="s">
        <v>677</v>
      </c>
      <c r="AI535" t="s">
        <v>353</v>
      </c>
      <c r="AJ535" t="s">
        <v>1004</v>
      </c>
      <c r="AK535" s="1">
        <v>-915280.52</v>
      </c>
      <c r="AL535" s="1">
        <v>0</v>
      </c>
      <c r="AM535" s="1">
        <v>-915280.52</v>
      </c>
      <c r="AN535" s="1">
        <v>-457640.26</v>
      </c>
      <c r="AO535" s="1">
        <v>0</v>
      </c>
      <c r="AP535" s="1">
        <v>-457640.26</v>
      </c>
      <c r="AQ535" s="1">
        <v>-521385.41</v>
      </c>
      <c r="AR535" s="1">
        <v>0</v>
      </c>
      <c r="AS535" s="1">
        <v>-521385.41</v>
      </c>
      <c r="AT535" s="1">
        <v>0</v>
      </c>
      <c r="BA535" s="195"/>
      <c r="BB535" s="195"/>
      <c r="BC535" s="195"/>
      <c r="BD535" s="195"/>
      <c r="BE535" s="195"/>
      <c r="BF535" s="195"/>
      <c r="BG535" s="195"/>
      <c r="BH535" s="195"/>
      <c r="BI535" s="195"/>
    </row>
    <row r="536" spans="1:61" x14ac:dyDescent="0.25">
      <c r="A536" t="s">
        <v>343</v>
      </c>
      <c r="B536" t="s">
        <v>344</v>
      </c>
      <c r="C536" t="s">
        <v>982</v>
      </c>
      <c r="D536" t="s">
        <v>45</v>
      </c>
      <c r="E536" t="s">
        <v>983</v>
      </c>
      <c r="F536" t="s">
        <v>42</v>
      </c>
      <c r="G536" t="s">
        <v>984</v>
      </c>
      <c r="H536" t="s">
        <v>36</v>
      </c>
      <c r="I536" t="s">
        <v>985</v>
      </c>
      <c r="J536" t="s">
        <v>32</v>
      </c>
      <c r="K536" t="s">
        <v>986</v>
      </c>
      <c r="L536" t="s">
        <v>28</v>
      </c>
      <c r="M536" t="s">
        <v>1004</v>
      </c>
      <c r="N536" t="s">
        <v>27</v>
      </c>
      <c r="AG536" t="s">
        <v>678</v>
      </c>
      <c r="AH536" t="s">
        <v>679</v>
      </c>
      <c r="AI536" t="s">
        <v>353</v>
      </c>
      <c r="AJ536" t="s">
        <v>1004</v>
      </c>
      <c r="AK536" s="1">
        <v>696.5</v>
      </c>
      <c r="AL536" s="1">
        <v>0</v>
      </c>
      <c r="AM536" s="1">
        <v>696.5</v>
      </c>
      <c r="AN536" s="1">
        <v>348.25</v>
      </c>
      <c r="AO536" s="1">
        <v>0</v>
      </c>
      <c r="AP536" s="1">
        <v>348.25</v>
      </c>
      <c r="AQ536" s="1">
        <v>964.59</v>
      </c>
      <c r="AR536" s="1">
        <v>0</v>
      </c>
      <c r="AS536" s="1">
        <v>964.59</v>
      </c>
      <c r="AT536" s="1">
        <v>0</v>
      </c>
      <c r="BA536" s="195"/>
      <c r="BB536" s="195"/>
      <c r="BC536" s="195"/>
      <c r="BD536" s="195"/>
      <c r="BE536" s="195"/>
      <c r="BF536" s="195"/>
      <c r="BG536" s="195"/>
      <c r="BH536" s="195"/>
      <c r="BI536" s="195"/>
    </row>
    <row r="537" spans="1:61" x14ac:dyDescent="0.25">
      <c r="A537" t="s">
        <v>343</v>
      </c>
      <c r="B537" t="s">
        <v>344</v>
      </c>
      <c r="C537" t="s">
        <v>982</v>
      </c>
      <c r="D537" t="s">
        <v>45</v>
      </c>
      <c r="E537" t="s">
        <v>983</v>
      </c>
      <c r="F537" t="s">
        <v>42</v>
      </c>
      <c r="G537" t="s">
        <v>984</v>
      </c>
      <c r="H537" t="s">
        <v>36</v>
      </c>
      <c r="I537" t="s">
        <v>985</v>
      </c>
      <c r="J537" t="s">
        <v>32</v>
      </c>
      <c r="K537" t="s">
        <v>986</v>
      </c>
      <c r="L537" t="s">
        <v>28</v>
      </c>
      <c r="M537" t="s">
        <v>1004</v>
      </c>
      <c r="N537" t="s">
        <v>27</v>
      </c>
      <c r="AG537" t="s">
        <v>680</v>
      </c>
      <c r="AH537" t="s">
        <v>681</v>
      </c>
      <c r="AI537" t="s">
        <v>353</v>
      </c>
      <c r="AJ537" t="s">
        <v>1004</v>
      </c>
      <c r="AK537" s="1">
        <v>-318413.86</v>
      </c>
      <c r="AL537" s="1">
        <v>0</v>
      </c>
      <c r="AM537" s="1">
        <v>-318413.86</v>
      </c>
      <c r="AN537" s="1">
        <v>-159206.93</v>
      </c>
      <c r="AO537" s="1">
        <v>0</v>
      </c>
      <c r="AP537" s="1">
        <v>-159206.93</v>
      </c>
      <c r="AQ537" s="1">
        <v>-164739.63</v>
      </c>
      <c r="AR537" s="1">
        <v>0</v>
      </c>
      <c r="AS537" s="1">
        <v>-164739.63</v>
      </c>
      <c r="AT537" s="1">
        <v>0</v>
      </c>
      <c r="BA537" s="195"/>
      <c r="BB537" s="195"/>
      <c r="BC537" s="195"/>
      <c r="BD537" s="195"/>
      <c r="BE537" s="195"/>
      <c r="BF537" s="195"/>
      <c r="BG537" s="195"/>
      <c r="BH537" s="195"/>
      <c r="BI537" s="195"/>
    </row>
    <row r="538" spans="1:61" x14ac:dyDescent="0.25">
      <c r="A538" t="s">
        <v>343</v>
      </c>
      <c r="B538" t="s">
        <v>344</v>
      </c>
      <c r="C538" t="s">
        <v>982</v>
      </c>
      <c r="D538" t="s">
        <v>45</v>
      </c>
      <c r="E538" t="s">
        <v>983</v>
      </c>
      <c r="F538" t="s">
        <v>42</v>
      </c>
      <c r="G538" t="s">
        <v>984</v>
      </c>
      <c r="H538" t="s">
        <v>36</v>
      </c>
      <c r="I538" t="s">
        <v>985</v>
      </c>
      <c r="J538" t="s">
        <v>32</v>
      </c>
      <c r="K538" t="s">
        <v>986</v>
      </c>
      <c r="L538" t="s">
        <v>28</v>
      </c>
      <c r="M538" t="s">
        <v>1004</v>
      </c>
      <c r="N538" t="s">
        <v>27</v>
      </c>
      <c r="AG538" t="s">
        <v>682</v>
      </c>
      <c r="AH538" t="s">
        <v>683</v>
      </c>
      <c r="AI538" t="s">
        <v>353</v>
      </c>
      <c r="AJ538" t="s">
        <v>1004</v>
      </c>
      <c r="AK538" s="1">
        <v>-227233.36</v>
      </c>
      <c r="AL538" s="1">
        <v>0</v>
      </c>
      <c r="AM538" s="1">
        <v>-227233.36</v>
      </c>
      <c r="AN538" s="1">
        <v>-113616.68</v>
      </c>
      <c r="AO538" s="1">
        <v>0</v>
      </c>
      <c r="AP538" s="1">
        <v>-113616.68</v>
      </c>
      <c r="AQ538" s="1">
        <v>-118049.99</v>
      </c>
      <c r="AR538" s="1">
        <v>0</v>
      </c>
      <c r="AS538" s="1">
        <v>-118049.99</v>
      </c>
      <c r="AT538" s="1">
        <v>0</v>
      </c>
      <c r="BA538" s="195"/>
      <c r="BB538" s="195"/>
      <c r="BC538" s="195"/>
      <c r="BD538" s="195"/>
      <c r="BE538" s="195"/>
      <c r="BF538" s="195"/>
      <c r="BG538" s="195"/>
      <c r="BH538" s="195"/>
      <c r="BI538" s="195"/>
    </row>
    <row r="539" spans="1:61" x14ac:dyDescent="0.25">
      <c r="A539" t="s">
        <v>343</v>
      </c>
      <c r="B539" t="s">
        <v>344</v>
      </c>
      <c r="C539" t="s">
        <v>982</v>
      </c>
      <c r="D539" t="s">
        <v>45</v>
      </c>
      <c r="E539" t="s">
        <v>983</v>
      </c>
      <c r="F539" t="s">
        <v>42</v>
      </c>
      <c r="G539" t="s">
        <v>984</v>
      </c>
      <c r="H539" t="s">
        <v>36</v>
      </c>
      <c r="I539" t="s">
        <v>985</v>
      </c>
      <c r="J539" t="s">
        <v>32</v>
      </c>
      <c r="K539" t="s">
        <v>986</v>
      </c>
      <c r="L539" t="s">
        <v>28</v>
      </c>
      <c r="M539" t="s">
        <v>1004</v>
      </c>
      <c r="N539" t="s">
        <v>27</v>
      </c>
      <c r="AG539" t="s">
        <v>684</v>
      </c>
      <c r="AH539" t="s">
        <v>685</v>
      </c>
      <c r="AI539" t="s">
        <v>353</v>
      </c>
      <c r="AJ539" t="s">
        <v>1004</v>
      </c>
      <c r="AK539" s="1">
        <v>-71602.039999999994</v>
      </c>
      <c r="AL539" s="1">
        <v>0</v>
      </c>
      <c r="AM539" s="1">
        <v>-71602.039999999994</v>
      </c>
      <c r="AN539" s="1">
        <v>-35801.019999999997</v>
      </c>
      <c r="AO539" s="1">
        <v>0</v>
      </c>
      <c r="AP539" s="1">
        <v>-35801.019999999997</v>
      </c>
      <c r="AQ539" s="1">
        <v>-36793.81</v>
      </c>
      <c r="AR539" s="1">
        <v>0</v>
      </c>
      <c r="AS539" s="1">
        <v>-36793.81</v>
      </c>
      <c r="AT539" s="1">
        <v>0</v>
      </c>
      <c r="BA539" s="195"/>
      <c r="BB539" s="195"/>
      <c r="BC539" s="195"/>
      <c r="BD539" s="195"/>
      <c r="BE539" s="195"/>
      <c r="BF539" s="195"/>
      <c r="BG539" s="195"/>
      <c r="BH539" s="195"/>
      <c r="BI539" s="195"/>
    </row>
    <row r="540" spans="1:61" x14ac:dyDescent="0.25">
      <c r="A540" t="s">
        <v>343</v>
      </c>
      <c r="B540" t="s">
        <v>344</v>
      </c>
      <c r="C540" t="s">
        <v>982</v>
      </c>
      <c r="D540" t="s">
        <v>45</v>
      </c>
      <c r="E540" t="s">
        <v>983</v>
      </c>
      <c r="F540" t="s">
        <v>42</v>
      </c>
      <c r="G540" t="s">
        <v>984</v>
      </c>
      <c r="H540" t="s">
        <v>36</v>
      </c>
      <c r="I540" t="s">
        <v>985</v>
      </c>
      <c r="J540" t="s">
        <v>32</v>
      </c>
      <c r="K540" t="s">
        <v>986</v>
      </c>
      <c r="L540" t="s">
        <v>28</v>
      </c>
      <c r="M540" t="s">
        <v>1004</v>
      </c>
      <c r="N540" t="s">
        <v>27</v>
      </c>
      <c r="AG540" t="s">
        <v>686</v>
      </c>
      <c r="AH540" t="s">
        <v>687</v>
      </c>
      <c r="AI540" t="s">
        <v>353</v>
      </c>
      <c r="AJ540" t="s">
        <v>1004</v>
      </c>
      <c r="AK540" s="1">
        <v>-80355.66</v>
      </c>
      <c r="AL540" s="1">
        <v>0</v>
      </c>
      <c r="AM540" s="1">
        <v>-80355.66</v>
      </c>
      <c r="AN540" s="1">
        <v>-40177.83</v>
      </c>
      <c r="AO540" s="1">
        <v>0</v>
      </c>
      <c r="AP540" s="1">
        <v>-40177.83</v>
      </c>
      <c r="AQ540" s="1">
        <v>-38975.730000000003</v>
      </c>
      <c r="AR540" s="1">
        <v>0</v>
      </c>
      <c r="AS540" s="1">
        <v>-38975.730000000003</v>
      </c>
      <c r="AT540" s="1">
        <v>0</v>
      </c>
      <c r="BA540" s="195"/>
      <c r="BB540" s="195"/>
      <c r="BC540" s="195"/>
      <c r="BD540" s="195"/>
      <c r="BE540" s="195"/>
      <c r="BF540" s="195"/>
      <c r="BG540" s="195"/>
      <c r="BH540" s="195"/>
      <c r="BI540" s="195"/>
    </row>
    <row r="541" spans="1:61" x14ac:dyDescent="0.25">
      <c r="A541" t="s">
        <v>343</v>
      </c>
      <c r="B541" t="s">
        <v>344</v>
      </c>
      <c r="C541" t="s">
        <v>982</v>
      </c>
      <c r="D541" t="s">
        <v>45</v>
      </c>
      <c r="E541" t="s">
        <v>983</v>
      </c>
      <c r="F541" t="s">
        <v>42</v>
      </c>
      <c r="G541" t="s">
        <v>984</v>
      </c>
      <c r="H541" t="s">
        <v>36</v>
      </c>
      <c r="I541" t="s">
        <v>985</v>
      </c>
      <c r="J541" t="s">
        <v>32</v>
      </c>
      <c r="K541" t="s">
        <v>986</v>
      </c>
      <c r="L541" t="s">
        <v>28</v>
      </c>
      <c r="M541" t="s">
        <v>1004</v>
      </c>
      <c r="N541" t="s">
        <v>27</v>
      </c>
      <c r="AG541" t="s">
        <v>688</v>
      </c>
      <c r="AH541" t="s">
        <v>689</v>
      </c>
      <c r="AI541" t="s">
        <v>353</v>
      </c>
      <c r="AJ541" t="s">
        <v>1004</v>
      </c>
      <c r="AK541" s="1">
        <v>-297952.96000000002</v>
      </c>
      <c r="AL541" s="1">
        <v>0</v>
      </c>
      <c r="AM541" s="1">
        <v>-297952.96000000002</v>
      </c>
      <c r="AN541" s="1">
        <v>-148976.48000000001</v>
      </c>
      <c r="AO541" s="1">
        <v>0</v>
      </c>
      <c r="AP541" s="1">
        <v>-148976.48000000001</v>
      </c>
      <c r="AQ541" s="1">
        <v>-155107.07</v>
      </c>
      <c r="AR541" s="1">
        <v>0</v>
      </c>
      <c r="AS541" s="1">
        <v>-155107.07</v>
      </c>
      <c r="AT541" s="1">
        <v>0</v>
      </c>
      <c r="BA541" s="195"/>
      <c r="BB541" s="195"/>
      <c r="BC541" s="195"/>
      <c r="BD541" s="195"/>
      <c r="BE541" s="195"/>
      <c r="BF541" s="195"/>
      <c r="BG541" s="195"/>
      <c r="BH541" s="195"/>
      <c r="BI541" s="195"/>
    </row>
    <row r="542" spans="1:61" x14ac:dyDescent="0.25">
      <c r="A542" t="s">
        <v>343</v>
      </c>
      <c r="B542" t="s">
        <v>344</v>
      </c>
      <c r="C542" t="s">
        <v>982</v>
      </c>
      <c r="D542" t="s">
        <v>45</v>
      </c>
      <c r="E542" t="s">
        <v>983</v>
      </c>
      <c r="F542" t="s">
        <v>42</v>
      </c>
      <c r="G542" t="s">
        <v>984</v>
      </c>
      <c r="H542" t="s">
        <v>36</v>
      </c>
      <c r="I542" t="s">
        <v>985</v>
      </c>
      <c r="J542" t="s">
        <v>32</v>
      </c>
      <c r="K542" t="s">
        <v>986</v>
      </c>
      <c r="L542" t="s">
        <v>28</v>
      </c>
      <c r="M542" t="s">
        <v>1004</v>
      </c>
      <c r="N542" t="s">
        <v>27</v>
      </c>
      <c r="AG542" t="s">
        <v>690</v>
      </c>
      <c r="AH542" t="s">
        <v>691</v>
      </c>
      <c r="AI542" t="s">
        <v>353</v>
      </c>
      <c r="AJ542" t="s">
        <v>1004</v>
      </c>
      <c r="AK542" s="1">
        <v>-52927.32</v>
      </c>
      <c r="AL542" s="1">
        <v>0</v>
      </c>
      <c r="AM542" s="1">
        <v>-52927.32</v>
      </c>
      <c r="AN542" s="1">
        <v>-26463.66</v>
      </c>
      <c r="AO542" s="1">
        <v>0</v>
      </c>
      <c r="AP542" s="1">
        <v>-26463.66</v>
      </c>
      <c r="AQ542" s="1">
        <v>-19888.68</v>
      </c>
      <c r="AR542" s="1">
        <v>0</v>
      </c>
      <c r="AS542" s="1">
        <v>-19888.68</v>
      </c>
      <c r="AT542" s="1">
        <v>0</v>
      </c>
      <c r="BA542" s="195"/>
      <c r="BB542" s="195"/>
      <c r="BC542" s="195"/>
      <c r="BD542" s="195"/>
      <c r="BE542" s="195"/>
      <c r="BF542" s="195"/>
      <c r="BG542" s="195"/>
      <c r="BH542" s="195"/>
      <c r="BI542" s="195"/>
    </row>
    <row r="543" spans="1:61" x14ac:dyDescent="0.25">
      <c r="A543" t="s">
        <v>343</v>
      </c>
      <c r="B543" t="s">
        <v>344</v>
      </c>
      <c r="C543" t="s">
        <v>982</v>
      </c>
      <c r="D543" t="s">
        <v>45</v>
      </c>
      <c r="E543" t="s">
        <v>983</v>
      </c>
      <c r="F543" t="s">
        <v>42</v>
      </c>
      <c r="G543" t="s">
        <v>984</v>
      </c>
      <c r="H543" t="s">
        <v>36</v>
      </c>
      <c r="I543" t="s">
        <v>985</v>
      </c>
      <c r="J543" t="s">
        <v>32</v>
      </c>
      <c r="K543" t="s">
        <v>986</v>
      </c>
      <c r="L543" t="s">
        <v>28</v>
      </c>
      <c r="M543" t="s">
        <v>1004</v>
      </c>
      <c r="N543" t="s">
        <v>27</v>
      </c>
      <c r="AG543" t="s">
        <v>692</v>
      </c>
      <c r="AH543" t="s">
        <v>693</v>
      </c>
      <c r="AI543" t="s">
        <v>353</v>
      </c>
      <c r="AJ543" t="s">
        <v>1004</v>
      </c>
      <c r="AK543" s="1">
        <v>-8838.16</v>
      </c>
      <c r="AL543" s="1">
        <v>0</v>
      </c>
      <c r="AM543" s="1">
        <v>-8838.16</v>
      </c>
      <c r="AN543" s="1">
        <v>-4419.08</v>
      </c>
      <c r="AO543" s="1">
        <v>0</v>
      </c>
      <c r="AP543" s="1">
        <v>-4419.08</v>
      </c>
      <c r="AQ543" s="1">
        <v>-4838.63</v>
      </c>
      <c r="AR543" s="1">
        <v>0</v>
      </c>
      <c r="AS543" s="1">
        <v>-4838.63</v>
      </c>
      <c r="AT543" s="1">
        <v>0</v>
      </c>
      <c r="BA543" s="195"/>
      <c r="BB543" s="195"/>
      <c r="BC543" s="195"/>
      <c r="BD543" s="195"/>
      <c r="BE543" s="195"/>
      <c r="BF543" s="195"/>
      <c r="BG543" s="195"/>
      <c r="BH543" s="195"/>
      <c r="BI543" s="195"/>
    </row>
    <row r="544" spans="1:61" x14ac:dyDescent="0.25">
      <c r="A544" t="s">
        <v>343</v>
      </c>
      <c r="B544" t="s">
        <v>344</v>
      </c>
      <c r="C544" t="s">
        <v>982</v>
      </c>
      <c r="D544" t="s">
        <v>45</v>
      </c>
      <c r="E544" t="s">
        <v>983</v>
      </c>
      <c r="F544" t="s">
        <v>42</v>
      </c>
      <c r="G544" t="s">
        <v>984</v>
      </c>
      <c r="H544" t="s">
        <v>36</v>
      </c>
      <c r="I544" t="s">
        <v>985</v>
      </c>
      <c r="J544" t="s">
        <v>32</v>
      </c>
      <c r="K544" t="s">
        <v>986</v>
      </c>
      <c r="L544" t="s">
        <v>28</v>
      </c>
      <c r="M544" t="s">
        <v>1004</v>
      </c>
      <c r="N544" t="s">
        <v>27</v>
      </c>
      <c r="AG544" t="s">
        <v>694</v>
      </c>
      <c r="AH544" t="s">
        <v>695</v>
      </c>
      <c r="AI544" t="s">
        <v>353</v>
      </c>
      <c r="AJ544" t="s">
        <v>1004</v>
      </c>
      <c r="AK544" s="1">
        <v>-70759.600000000006</v>
      </c>
      <c r="AL544" s="1">
        <v>0</v>
      </c>
      <c r="AM544" s="1">
        <v>-70759.600000000006</v>
      </c>
      <c r="AN544" s="1">
        <v>-35379.800000000003</v>
      </c>
      <c r="AO544" s="1">
        <v>0</v>
      </c>
      <c r="AP544" s="1">
        <v>-35379.800000000003</v>
      </c>
      <c r="AQ544" s="1">
        <v>-31361.8</v>
      </c>
      <c r="AR544" s="1">
        <v>0</v>
      </c>
      <c r="AS544" s="1">
        <v>-31361.8</v>
      </c>
      <c r="AT544" s="1">
        <v>0</v>
      </c>
      <c r="BA544" s="195"/>
      <c r="BB544" s="195"/>
      <c r="BC544" s="195"/>
      <c r="BD544" s="195"/>
      <c r="BE544" s="195"/>
      <c r="BF544" s="195"/>
      <c r="BG544" s="195"/>
      <c r="BH544" s="195"/>
      <c r="BI544" s="195"/>
    </row>
    <row r="545" spans="1:61" x14ac:dyDescent="0.25">
      <c r="A545" t="s">
        <v>343</v>
      </c>
      <c r="B545" t="s">
        <v>344</v>
      </c>
      <c r="C545" t="s">
        <v>982</v>
      </c>
      <c r="D545" t="s">
        <v>45</v>
      </c>
      <c r="E545" t="s">
        <v>983</v>
      </c>
      <c r="F545" t="s">
        <v>42</v>
      </c>
      <c r="G545" t="s">
        <v>984</v>
      </c>
      <c r="H545" t="s">
        <v>36</v>
      </c>
      <c r="I545" t="s">
        <v>985</v>
      </c>
      <c r="J545" t="s">
        <v>32</v>
      </c>
      <c r="K545" t="s">
        <v>986</v>
      </c>
      <c r="L545" t="s">
        <v>28</v>
      </c>
      <c r="M545" t="s">
        <v>1004</v>
      </c>
      <c r="N545" t="s">
        <v>27</v>
      </c>
      <c r="AG545" t="s">
        <v>696</v>
      </c>
      <c r="AH545" t="s">
        <v>697</v>
      </c>
      <c r="AI545" t="s">
        <v>353</v>
      </c>
      <c r="AJ545" t="s">
        <v>1004</v>
      </c>
      <c r="AK545" s="1">
        <v>-12630</v>
      </c>
      <c r="AL545" s="1">
        <v>0</v>
      </c>
      <c r="AM545" s="1">
        <v>-12630</v>
      </c>
      <c r="AN545" s="1">
        <v>-6315</v>
      </c>
      <c r="AO545" s="1">
        <v>0</v>
      </c>
      <c r="AP545" s="1">
        <v>-6315</v>
      </c>
      <c r="AQ545" s="1">
        <v>-9428.26</v>
      </c>
      <c r="AR545" s="1">
        <v>0</v>
      </c>
      <c r="AS545" s="1">
        <v>-9428.26</v>
      </c>
      <c r="AT545" s="1">
        <v>0</v>
      </c>
      <c r="BA545" s="195"/>
      <c r="BB545" s="195"/>
      <c r="BC545" s="195"/>
      <c r="BD545" s="195"/>
      <c r="BE545" s="195"/>
      <c r="BF545" s="195"/>
      <c r="BG545" s="195"/>
      <c r="BH545" s="195"/>
      <c r="BI545" s="195"/>
    </row>
    <row r="546" spans="1:61" x14ac:dyDescent="0.25">
      <c r="A546" t="s">
        <v>343</v>
      </c>
      <c r="B546" t="s">
        <v>344</v>
      </c>
      <c r="C546" t="s">
        <v>982</v>
      </c>
      <c r="D546" t="s">
        <v>45</v>
      </c>
      <c r="E546" t="s">
        <v>983</v>
      </c>
      <c r="F546" t="s">
        <v>42</v>
      </c>
      <c r="G546" t="s">
        <v>984</v>
      </c>
      <c r="H546" t="s">
        <v>36</v>
      </c>
      <c r="I546" t="s">
        <v>985</v>
      </c>
      <c r="J546" t="s">
        <v>32</v>
      </c>
      <c r="K546" t="s">
        <v>986</v>
      </c>
      <c r="L546" t="s">
        <v>28</v>
      </c>
      <c r="M546" t="s">
        <v>1004</v>
      </c>
      <c r="N546" t="s">
        <v>27</v>
      </c>
      <c r="AG546" t="s">
        <v>698</v>
      </c>
      <c r="AH546" t="s">
        <v>699</v>
      </c>
      <c r="AI546" t="s">
        <v>353</v>
      </c>
      <c r="AJ546" t="s">
        <v>1004</v>
      </c>
      <c r="AK546" s="1">
        <v>-573.54</v>
      </c>
      <c r="AL546" s="1">
        <v>0</v>
      </c>
      <c r="AM546" s="1">
        <v>-573.54</v>
      </c>
      <c r="AN546" s="1">
        <v>-286.77</v>
      </c>
      <c r="AO546" s="1">
        <v>0</v>
      </c>
      <c r="AP546" s="1">
        <v>-286.77</v>
      </c>
      <c r="AQ546" s="1">
        <v>0</v>
      </c>
      <c r="AR546" s="1">
        <v>0</v>
      </c>
      <c r="AS546" s="1">
        <v>0</v>
      </c>
      <c r="AT546" s="1">
        <v>0</v>
      </c>
      <c r="BA546" s="195"/>
      <c r="BB546" s="195"/>
      <c r="BC546" s="195"/>
      <c r="BD546" s="195"/>
      <c r="BE546" s="195"/>
      <c r="BF546" s="195"/>
      <c r="BG546" s="195"/>
      <c r="BH546" s="195"/>
      <c r="BI546" s="195"/>
    </row>
    <row r="547" spans="1:61" x14ac:dyDescent="0.25">
      <c r="A547" t="s">
        <v>343</v>
      </c>
      <c r="B547" t="s">
        <v>344</v>
      </c>
      <c r="C547" t="s">
        <v>982</v>
      </c>
      <c r="D547" t="s">
        <v>45</v>
      </c>
      <c r="E547" t="s">
        <v>983</v>
      </c>
      <c r="F547" t="s">
        <v>42</v>
      </c>
      <c r="G547" t="s">
        <v>984</v>
      </c>
      <c r="H547" t="s">
        <v>36</v>
      </c>
      <c r="I547" t="s">
        <v>985</v>
      </c>
      <c r="J547" t="s">
        <v>32</v>
      </c>
      <c r="K547" t="s">
        <v>986</v>
      </c>
      <c r="L547" t="s">
        <v>28</v>
      </c>
      <c r="M547" t="s">
        <v>1004</v>
      </c>
      <c r="N547" t="s">
        <v>27</v>
      </c>
      <c r="AG547" t="s">
        <v>700</v>
      </c>
      <c r="AH547" t="s">
        <v>701</v>
      </c>
      <c r="AI547" t="s">
        <v>353</v>
      </c>
      <c r="AJ547" t="s">
        <v>1004</v>
      </c>
      <c r="AK547" s="1">
        <v>-48622</v>
      </c>
      <c r="AL547" s="1">
        <v>0</v>
      </c>
      <c r="AM547" s="1">
        <v>-48622</v>
      </c>
      <c r="AN547" s="1">
        <v>-24311</v>
      </c>
      <c r="AO547" s="1">
        <v>0</v>
      </c>
      <c r="AP547" s="1">
        <v>-24311</v>
      </c>
      <c r="AQ547" s="1">
        <v>-25323</v>
      </c>
      <c r="AR547" s="1">
        <v>0</v>
      </c>
      <c r="AS547" s="1">
        <v>-25323</v>
      </c>
      <c r="AT547" s="1">
        <v>0</v>
      </c>
      <c r="BA547" s="195"/>
      <c r="BB547" s="195"/>
      <c r="BC547" s="195"/>
      <c r="BD547" s="195"/>
      <c r="BE547" s="195"/>
      <c r="BF547" s="195"/>
      <c r="BG547" s="195"/>
      <c r="BH547" s="195"/>
      <c r="BI547" s="195"/>
    </row>
    <row r="548" spans="1:61" x14ac:dyDescent="0.25">
      <c r="A548" t="s">
        <v>343</v>
      </c>
      <c r="B548" t="s">
        <v>344</v>
      </c>
      <c r="C548" t="s">
        <v>982</v>
      </c>
      <c r="D548" t="s">
        <v>45</v>
      </c>
      <c r="E548" t="s">
        <v>983</v>
      </c>
      <c r="F548" t="s">
        <v>42</v>
      </c>
      <c r="G548" t="s">
        <v>984</v>
      </c>
      <c r="H548" t="s">
        <v>36</v>
      </c>
      <c r="I548" t="s">
        <v>985</v>
      </c>
      <c r="J548" t="s">
        <v>32</v>
      </c>
      <c r="K548" t="s">
        <v>986</v>
      </c>
      <c r="L548" t="s">
        <v>28</v>
      </c>
      <c r="M548" t="s">
        <v>1004</v>
      </c>
      <c r="N548" t="s">
        <v>27</v>
      </c>
      <c r="AG548" t="s">
        <v>702</v>
      </c>
      <c r="AH548" t="s">
        <v>703</v>
      </c>
      <c r="AI548" t="s">
        <v>353</v>
      </c>
      <c r="AJ548" t="s">
        <v>1004</v>
      </c>
      <c r="AK548" s="1">
        <v>-57275.62</v>
      </c>
      <c r="AL548" s="1">
        <v>0</v>
      </c>
      <c r="AM548" s="1">
        <v>-57275.62</v>
      </c>
      <c r="AN548" s="1">
        <v>-28637.81</v>
      </c>
      <c r="AO548" s="1">
        <v>0</v>
      </c>
      <c r="AP548" s="1">
        <v>-28637.81</v>
      </c>
      <c r="AQ548" s="1">
        <v>-15324.77</v>
      </c>
      <c r="AR548" s="1">
        <v>0</v>
      </c>
      <c r="AS548" s="1">
        <v>-15324.77</v>
      </c>
      <c r="AT548" s="1">
        <v>0</v>
      </c>
      <c r="BA548" s="195"/>
      <c r="BB548" s="195"/>
      <c r="BC548" s="195"/>
      <c r="BD548" s="195"/>
      <c r="BE548" s="195"/>
      <c r="BF548" s="195"/>
      <c r="BG548" s="195"/>
      <c r="BH548" s="195"/>
      <c r="BI548" s="195"/>
    </row>
    <row r="549" spans="1:61" x14ac:dyDescent="0.25">
      <c r="A549" t="s">
        <v>343</v>
      </c>
      <c r="B549" t="s">
        <v>344</v>
      </c>
      <c r="C549" t="s">
        <v>982</v>
      </c>
      <c r="D549" t="s">
        <v>45</v>
      </c>
      <c r="E549" t="s">
        <v>983</v>
      </c>
      <c r="F549" t="s">
        <v>42</v>
      </c>
      <c r="G549" t="s">
        <v>984</v>
      </c>
      <c r="H549" t="s">
        <v>36</v>
      </c>
      <c r="I549" t="s">
        <v>985</v>
      </c>
      <c r="J549" t="s">
        <v>32</v>
      </c>
      <c r="K549" t="s">
        <v>1005</v>
      </c>
      <c r="L549" t="s">
        <v>1006</v>
      </c>
      <c r="AG549" t="s">
        <v>809</v>
      </c>
      <c r="AH549" t="s">
        <v>810</v>
      </c>
      <c r="AI549" t="s">
        <v>353</v>
      </c>
      <c r="AJ549" t="s">
        <v>1005</v>
      </c>
      <c r="AK549" s="1">
        <v>937408.5</v>
      </c>
      <c r="AL549" s="1">
        <v>0</v>
      </c>
      <c r="AM549" s="1">
        <v>937408.5</v>
      </c>
      <c r="AN549" s="1">
        <v>468704.25</v>
      </c>
      <c r="AO549" s="1">
        <v>0</v>
      </c>
      <c r="AP549" s="1">
        <v>468704.25</v>
      </c>
      <c r="AQ549" s="1">
        <v>531657.6</v>
      </c>
      <c r="AR549" s="1">
        <v>0</v>
      </c>
      <c r="AS549" s="1">
        <v>531657.6</v>
      </c>
      <c r="AT549" s="1">
        <v>0</v>
      </c>
      <c r="BA549" s="195"/>
      <c r="BB549" s="195"/>
      <c r="BC549" s="195"/>
      <c r="BD549" s="195"/>
      <c r="BE549" s="195"/>
      <c r="BF549" s="195"/>
      <c r="BG549" s="195"/>
      <c r="BH549" s="195"/>
      <c r="BI549" s="195"/>
    </row>
    <row r="550" spans="1:61" x14ac:dyDescent="0.25">
      <c r="A550" t="s">
        <v>343</v>
      </c>
      <c r="B550" t="s">
        <v>344</v>
      </c>
      <c r="C550" t="s">
        <v>982</v>
      </c>
      <c r="D550" t="s">
        <v>45</v>
      </c>
      <c r="E550" t="s">
        <v>983</v>
      </c>
      <c r="F550" t="s">
        <v>42</v>
      </c>
      <c r="G550" t="s">
        <v>984</v>
      </c>
      <c r="H550" t="s">
        <v>36</v>
      </c>
      <c r="I550" t="s">
        <v>985</v>
      </c>
      <c r="J550" t="s">
        <v>32</v>
      </c>
      <c r="K550" t="s">
        <v>1007</v>
      </c>
      <c r="L550" t="s">
        <v>1008</v>
      </c>
      <c r="AG550" t="s">
        <v>717</v>
      </c>
      <c r="AH550" t="s">
        <v>718</v>
      </c>
      <c r="AI550" t="s">
        <v>353</v>
      </c>
      <c r="AJ550" t="s">
        <v>1007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0</v>
      </c>
      <c r="AQ550" s="1">
        <v>-4396.37</v>
      </c>
      <c r="AR550" s="1">
        <v>0</v>
      </c>
      <c r="AS550" s="1">
        <v>-4396.37</v>
      </c>
      <c r="AT550" s="1">
        <v>0</v>
      </c>
      <c r="BA550" s="195"/>
      <c r="BB550" s="195"/>
      <c r="BC550" s="195"/>
      <c r="BD550" s="195"/>
      <c r="BE550" s="195"/>
      <c r="BF550" s="195"/>
      <c r="BG550" s="195"/>
      <c r="BH550" s="195"/>
      <c r="BI550" s="195"/>
    </row>
    <row r="551" spans="1:61" x14ac:dyDescent="0.25">
      <c r="A551" t="s">
        <v>343</v>
      </c>
      <c r="B551" t="s">
        <v>344</v>
      </c>
      <c r="C551" t="s">
        <v>982</v>
      </c>
      <c r="D551" t="s">
        <v>45</v>
      </c>
      <c r="E551" t="s">
        <v>983</v>
      </c>
      <c r="F551" t="s">
        <v>42</v>
      </c>
      <c r="G551" t="s">
        <v>984</v>
      </c>
      <c r="H551" t="s">
        <v>36</v>
      </c>
      <c r="I551" t="s">
        <v>985</v>
      </c>
      <c r="J551" t="s">
        <v>32</v>
      </c>
      <c r="K551" t="s">
        <v>1007</v>
      </c>
      <c r="L551" t="s">
        <v>1008</v>
      </c>
      <c r="AG551" t="s">
        <v>719</v>
      </c>
      <c r="AH551" t="s">
        <v>720</v>
      </c>
      <c r="AI551" t="s">
        <v>353</v>
      </c>
      <c r="AJ551" t="s">
        <v>1007</v>
      </c>
      <c r="AK551" s="1">
        <v>-1106.96</v>
      </c>
      <c r="AL551" s="1">
        <v>0</v>
      </c>
      <c r="AM551" s="1">
        <v>-1106.96</v>
      </c>
      <c r="AN551" s="1">
        <v>-553.48</v>
      </c>
      <c r="AO551" s="1">
        <v>0</v>
      </c>
      <c r="AP551" s="1">
        <v>-553.48</v>
      </c>
      <c r="AQ551" s="1">
        <v>-518.25</v>
      </c>
      <c r="AR551" s="1">
        <v>0</v>
      </c>
      <c r="AS551" s="1">
        <v>-518.25</v>
      </c>
      <c r="AT551" s="1">
        <v>0</v>
      </c>
      <c r="BA551" s="195"/>
      <c r="BB551" s="195"/>
      <c r="BC551" s="195"/>
      <c r="BD551" s="195"/>
      <c r="BE551" s="195"/>
      <c r="BF551" s="195"/>
      <c r="BG551" s="195"/>
      <c r="BH551" s="195"/>
      <c r="BI551" s="195"/>
    </row>
    <row r="552" spans="1:61" x14ac:dyDescent="0.25">
      <c r="A552" t="s">
        <v>343</v>
      </c>
      <c r="B552" t="s">
        <v>344</v>
      </c>
      <c r="C552" t="s">
        <v>982</v>
      </c>
      <c r="D552" t="s">
        <v>45</v>
      </c>
      <c r="E552" t="s">
        <v>983</v>
      </c>
      <c r="F552" t="s">
        <v>42</v>
      </c>
      <c r="G552" t="s">
        <v>984</v>
      </c>
      <c r="H552" t="s">
        <v>36</v>
      </c>
      <c r="I552" t="s">
        <v>985</v>
      </c>
      <c r="J552" t="s">
        <v>32</v>
      </c>
      <c r="K552" t="s">
        <v>1007</v>
      </c>
      <c r="L552" t="s">
        <v>1008</v>
      </c>
      <c r="AG552" t="s">
        <v>721</v>
      </c>
      <c r="AH552" t="s">
        <v>722</v>
      </c>
      <c r="AI552" t="s">
        <v>353</v>
      </c>
      <c r="AJ552" t="s">
        <v>1007</v>
      </c>
      <c r="AK552" s="1">
        <v>-31257.54</v>
      </c>
      <c r="AL552" s="1">
        <v>0</v>
      </c>
      <c r="AM552" s="1">
        <v>-31257.54</v>
      </c>
      <c r="AN552" s="1">
        <v>-15628.77</v>
      </c>
      <c r="AO552" s="1">
        <v>0</v>
      </c>
      <c r="AP552" s="1">
        <v>-15628.77</v>
      </c>
      <c r="AQ552" s="1">
        <v>-22130.61</v>
      </c>
      <c r="AR552" s="1">
        <v>0</v>
      </c>
      <c r="AS552" s="1">
        <v>-22130.61</v>
      </c>
      <c r="AT552" s="1">
        <v>0</v>
      </c>
      <c r="BA552" s="195"/>
      <c r="BB552" s="195"/>
      <c r="BC552" s="195"/>
      <c r="BD552" s="195"/>
      <c r="BE552" s="195"/>
      <c r="BF552" s="195"/>
      <c r="BG552" s="195"/>
      <c r="BH552" s="195"/>
      <c r="BI552" s="195"/>
    </row>
    <row r="553" spans="1:61" x14ac:dyDescent="0.25">
      <c r="A553" t="s">
        <v>343</v>
      </c>
      <c r="B553" t="s">
        <v>344</v>
      </c>
      <c r="C553" t="s">
        <v>982</v>
      </c>
      <c r="D553" t="s">
        <v>45</v>
      </c>
      <c r="E553" t="s">
        <v>983</v>
      </c>
      <c r="F553" t="s">
        <v>42</v>
      </c>
      <c r="G553" t="s">
        <v>984</v>
      </c>
      <c r="H553" t="s">
        <v>36</v>
      </c>
      <c r="I553" t="s">
        <v>985</v>
      </c>
      <c r="J553" t="s">
        <v>32</v>
      </c>
      <c r="K553" t="s">
        <v>1007</v>
      </c>
      <c r="L553" t="s">
        <v>1008</v>
      </c>
      <c r="AG553" t="s">
        <v>723</v>
      </c>
      <c r="AH553" t="s">
        <v>724</v>
      </c>
      <c r="AI553" t="s">
        <v>353</v>
      </c>
      <c r="AJ553" t="s">
        <v>1007</v>
      </c>
      <c r="AK553" s="1">
        <v>-16386.16</v>
      </c>
      <c r="AL553" s="1">
        <v>0</v>
      </c>
      <c r="AM553" s="1">
        <v>-16386.16</v>
      </c>
      <c r="AN553" s="1">
        <v>-8193.08</v>
      </c>
      <c r="AO553" s="1">
        <v>0</v>
      </c>
      <c r="AP553" s="1">
        <v>-8193.08</v>
      </c>
      <c r="AQ553" s="1">
        <v>-7841.55</v>
      </c>
      <c r="AR553" s="1">
        <v>0</v>
      </c>
      <c r="AS553" s="1">
        <v>-7841.55</v>
      </c>
      <c r="AT553" s="1">
        <v>0</v>
      </c>
      <c r="BA553" s="195"/>
      <c r="BB553" s="195"/>
      <c r="BC553" s="195"/>
      <c r="BD553" s="195"/>
      <c r="BE553" s="195"/>
      <c r="BF553" s="195"/>
      <c r="BG553" s="195"/>
      <c r="BH553" s="195"/>
      <c r="BI553" s="195"/>
    </row>
    <row r="554" spans="1:61" x14ac:dyDescent="0.25">
      <c r="A554" t="s">
        <v>343</v>
      </c>
      <c r="B554" t="s">
        <v>344</v>
      </c>
      <c r="C554" t="s">
        <v>982</v>
      </c>
      <c r="D554" t="s">
        <v>45</v>
      </c>
      <c r="E554" t="s">
        <v>983</v>
      </c>
      <c r="F554" t="s">
        <v>42</v>
      </c>
      <c r="G554" t="s">
        <v>984</v>
      </c>
      <c r="H554" t="s">
        <v>36</v>
      </c>
      <c r="I554" t="s">
        <v>985</v>
      </c>
      <c r="J554" t="s">
        <v>32</v>
      </c>
      <c r="K554" t="s">
        <v>1007</v>
      </c>
      <c r="L554" t="s">
        <v>1008</v>
      </c>
      <c r="AG554" t="s">
        <v>725</v>
      </c>
      <c r="AH554" t="s">
        <v>726</v>
      </c>
      <c r="AI554" t="s">
        <v>353</v>
      </c>
      <c r="AJ554" t="s">
        <v>1007</v>
      </c>
      <c r="AK554" s="1">
        <v>-782980</v>
      </c>
      <c r="AL554" s="1">
        <v>0</v>
      </c>
      <c r="AM554" s="1">
        <v>-782980</v>
      </c>
      <c r="AN554" s="1">
        <v>-391490</v>
      </c>
      <c r="AO554" s="1">
        <v>0</v>
      </c>
      <c r="AP554" s="1">
        <v>-391490</v>
      </c>
      <c r="AQ554" s="1">
        <v>-413440.62</v>
      </c>
      <c r="AR554" s="1">
        <v>0</v>
      </c>
      <c r="AS554" s="1">
        <v>-413440.62</v>
      </c>
      <c r="AT554" s="1">
        <v>0</v>
      </c>
      <c r="BA554" s="195"/>
      <c r="BB554" s="195"/>
      <c r="BC554" s="195"/>
      <c r="BD554" s="195"/>
      <c r="BE554" s="195"/>
      <c r="BF554" s="195"/>
      <c r="BG554" s="195"/>
      <c r="BH554" s="195"/>
      <c r="BI554" s="195"/>
    </row>
    <row r="555" spans="1:61" x14ac:dyDescent="0.25">
      <c r="A555" t="s">
        <v>343</v>
      </c>
      <c r="B555" t="s">
        <v>344</v>
      </c>
      <c r="C555" t="s">
        <v>982</v>
      </c>
      <c r="D555" t="s">
        <v>45</v>
      </c>
      <c r="E555" t="s">
        <v>983</v>
      </c>
      <c r="F555" t="s">
        <v>42</v>
      </c>
      <c r="G555" t="s">
        <v>984</v>
      </c>
      <c r="H555" t="s">
        <v>36</v>
      </c>
      <c r="I555" t="s">
        <v>985</v>
      </c>
      <c r="J555" t="s">
        <v>32</v>
      </c>
      <c r="K555" t="s">
        <v>1007</v>
      </c>
      <c r="L555" t="s">
        <v>1008</v>
      </c>
      <c r="AG555" t="s">
        <v>727</v>
      </c>
      <c r="AH555" t="s">
        <v>728</v>
      </c>
      <c r="AI555" t="s">
        <v>353</v>
      </c>
      <c r="AJ555" t="s">
        <v>1007</v>
      </c>
      <c r="AK555" s="1">
        <v>-12195.84</v>
      </c>
      <c r="AL555" s="1">
        <v>0</v>
      </c>
      <c r="AM555" s="1">
        <v>-12195.84</v>
      </c>
      <c r="AN555" s="1">
        <v>-6097.92</v>
      </c>
      <c r="AO555" s="1">
        <v>0</v>
      </c>
      <c r="AP555" s="1">
        <v>-6097.92</v>
      </c>
      <c r="AQ555" s="1">
        <v>0</v>
      </c>
      <c r="AR555" s="1">
        <v>0</v>
      </c>
      <c r="AS555" s="1">
        <v>0</v>
      </c>
      <c r="AT555" s="1">
        <v>0</v>
      </c>
      <c r="BA555" s="195"/>
      <c r="BB555" s="195"/>
      <c r="BC555" s="195"/>
      <c r="BD555" s="195"/>
      <c r="BE555" s="195"/>
      <c r="BF555" s="195"/>
      <c r="BG555" s="195"/>
      <c r="BH555" s="195"/>
      <c r="BI555" s="195"/>
    </row>
    <row r="556" spans="1:61" x14ac:dyDescent="0.25">
      <c r="A556" t="s">
        <v>343</v>
      </c>
      <c r="B556" t="s">
        <v>344</v>
      </c>
      <c r="C556" t="s">
        <v>982</v>
      </c>
      <c r="D556" t="s">
        <v>45</v>
      </c>
      <c r="E556" t="s">
        <v>983</v>
      </c>
      <c r="F556" t="s">
        <v>42</v>
      </c>
      <c r="G556" t="s">
        <v>984</v>
      </c>
      <c r="H556" t="s">
        <v>36</v>
      </c>
      <c r="I556" t="s">
        <v>985</v>
      </c>
      <c r="J556" t="s">
        <v>32</v>
      </c>
      <c r="K556" t="s">
        <v>1007</v>
      </c>
      <c r="L556" t="s">
        <v>1008</v>
      </c>
      <c r="AG556" t="s">
        <v>729</v>
      </c>
      <c r="AH556" t="s">
        <v>730</v>
      </c>
      <c r="AI556" t="s">
        <v>353</v>
      </c>
      <c r="AJ556" t="s">
        <v>1007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-10607.18</v>
      </c>
      <c r="AR556" s="1">
        <v>0</v>
      </c>
      <c r="AS556" s="1">
        <v>-10607.18</v>
      </c>
      <c r="AT556" s="1">
        <v>0</v>
      </c>
      <c r="BA556" s="195"/>
      <c r="BB556" s="195"/>
      <c r="BC556" s="195"/>
      <c r="BD556" s="195"/>
      <c r="BE556" s="195"/>
      <c r="BF556" s="195"/>
      <c r="BG556" s="195"/>
      <c r="BH556" s="195"/>
      <c r="BI556" s="195"/>
    </row>
    <row r="557" spans="1:61" x14ac:dyDescent="0.25">
      <c r="A557" t="s">
        <v>343</v>
      </c>
      <c r="B557" t="s">
        <v>344</v>
      </c>
      <c r="C557" t="s">
        <v>982</v>
      </c>
      <c r="D557" t="s">
        <v>45</v>
      </c>
      <c r="E557" t="s">
        <v>983</v>
      </c>
      <c r="F557" t="s">
        <v>42</v>
      </c>
      <c r="G557" t="s">
        <v>984</v>
      </c>
      <c r="H557" t="s">
        <v>36</v>
      </c>
      <c r="I557" t="s">
        <v>985</v>
      </c>
      <c r="J557" t="s">
        <v>32</v>
      </c>
      <c r="K557" t="s">
        <v>1007</v>
      </c>
      <c r="L557" t="s">
        <v>1008</v>
      </c>
      <c r="AG557" t="s">
        <v>731</v>
      </c>
      <c r="AH557" t="s">
        <v>732</v>
      </c>
      <c r="AI557" t="s">
        <v>353</v>
      </c>
      <c r="AJ557" t="s">
        <v>1007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-22824.12</v>
      </c>
      <c r="AR557" s="1">
        <v>0</v>
      </c>
      <c r="AS557" s="1">
        <v>-22824.12</v>
      </c>
      <c r="AT557" s="1">
        <v>0</v>
      </c>
      <c r="BA557" s="195"/>
      <c r="BB557" s="195"/>
      <c r="BC557" s="195"/>
      <c r="BD557" s="195"/>
      <c r="BE557" s="195"/>
      <c r="BF557" s="195"/>
      <c r="BG557" s="195"/>
      <c r="BH557" s="195"/>
      <c r="BI557" s="195"/>
    </row>
    <row r="558" spans="1:61" x14ac:dyDescent="0.25">
      <c r="A558" t="s">
        <v>343</v>
      </c>
      <c r="B558" t="s">
        <v>344</v>
      </c>
      <c r="C558" t="s">
        <v>982</v>
      </c>
      <c r="D558" t="s">
        <v>45</v>
      </c>
      <c r="E558" t="s">
        <v>983</v>
      </c>
      <c r="F558" t="s">
        <v>42</v>
      </c>
      <c r="G558" t="s">
        <v>984</v>
      </c>
      <c r="H558" t="s">
        <v>36</v>
      </c>
      <c r="I558" t="s">
        <v>985</v>
      </c>
      <c r="J558" t="s">
        <v>32</v>
      </c>
      <c r="K558" t="s">
        <v>1009</v>
      </c>
      <c r="L558" t="s">
        <v>29</v>
      </c>
      <c r="AG558" t="s">
        <v>795</v>
      </c>
      <c r="AH558" t="s">
        <v>796</v>
      </c>
      <c r="AI558" t="s">
        <v>353</v>
      </c>
      <c r="AJ558" t="s">
        <v>1009</v>
      </c>
      <c r="AK558" s="1">
        <v>76.72</v>
      </c>
      <c r="AL558" s="1">
        <v>0</v>
      </c>
      <c r="AM558" s="1">
        <v>76.72</v>
      </c>
      <c r="AN558" s="1">
        <v>38.36</v>
      </c>
      <c r="AO558" s="1">
        <v>0</v>
      </c>
      <c r="AP558" s="1">
        <v>38.36</v>
      </c>
      <c r="AQ558" s="1">
        <v>2912.94</v>
      </c>
      <c r="AR558" s="1">
        <v>0</v>
      </c>
      <c r="AS558" s="1">
        <v>2912.94</v>
      </c>
      <c r="AT558" s="1">
        <v>0</v>
      </c>
      <c r="BA558" s="195"/>
      <c r="BB558" s="195"/>
      <c r="BC558" s="195"/>
      <c r="BD558" s="195"/>
      <c r="BE558" s="195"/>
      <c r="BF558" s="195"/>
      <c r="BG558" s="195"/>
      <c r="BH558" s="195"/>
      <c r="BI558" s="195"/>
    </row>
    <row r="559" spans="1:61" x14ac:dyDescent="0.25">
      <c r="A559" t="s">
        <v>343</v>
      </c>
      <c r="B559" t="s">
        <v>344</v>
      </c>
      <c r="C559" t="s">
        <v>982</v>
      </c>
      <c r="D559" t="s">
        <v>45</v>
      </c>
      <c r="E559" t="s">
        <v>983</v>
      </c>
      <c r="F559" t="s">
        <v>42</v>
      </c>
      <c r="G559" t="s">
        <v>984</v>
      </c>
      <c r="H559" t="s">
        <v>36</v>
      </c>
      <c r="I559" t="s">
        <v>985</v>
      </c>
      <c r="J559" t="s">
        <v>32</v>
      </c>
      <c r="K559" t="s">
        <v>1010</v>
      </c>
      <c r="L559" t="s">
        <v>30</v>
      </c>
      <c r="AG559" t="s">
        <v>704</v>
      </c>
      <c r="AH559" t="s">
        <v>705</v>
      </c>
      <c r="AI559" t="s">
        <v>353</v>
      </c>
      <c r="AJ559" t="s">
        <v>1010</v>
      </c>
      <c r="AK559" s="1">
        <v>-8965.8799999999992</v>
      </c>
      <c r="AL559" s="1">
        <v>0</v>
      </c>
      <c r="AM559" s="1">
        <v>-8965.8799999999992</v>
      </c>
      <c r="AN559" s="1">
        <v>-4482.9399999999996</v>
      </c>
      <c r="AO559" s="1">
        <v>0</v>
      </c>
      <c r="AP559" s="1">
        <v>-4482.9399999999996</v>
      </c>
      <c r="AQ559" s="1">
        <v>-1355.08</v>
      </c>
      <c r="AR559" s="1">
        <v>0</v>
      </c>
      <c r="AS559" s="1">
        <v>-1355.08</v>
      </c>
      <c r="AT559" s="1">
        <v>0</v>
      </c>
      <c r="BA559" s="195"/>
      <c r="BB559" s="195"/>
      <c r="BC559" s="195"/>
      <c r="BD559" s="195"/>
      <c r="BE559" s="195"/>
      <c r="BF559" s="195"/>
      <c r="BG559" s="195"/>
      <c r="BH559" s="195"/>
      <c r="BI559" s="195"/>
    </row>
    <row r="560" spans="1:61" x14ac:dyDescent="0.25">
      <c r="A560" t="s">
        <v>343</v>
      </c>
      <c r="B560" t="s">
        <v>344</v>
      </c>
      <c r="C560" t="s">
        <v>982</v>
      </c>
      <c r="D560" t="s">
        <v>45</v>
      </c>
      <c r="E560" t="s">
        <v>983</v>
      </c>
      <c r="F560" t="s">
        <v>42</v>
      </c>
      <c r="G560" t="s">
        <v>984</v>
      </c>
      <c r="H560" t="s">
        <v>36</v>
      </c>
      <c r="I560" t="s">
        <v>985</v>
      </c>
      <c r="J560" t="s">
        <v>32</v>
      </c>
      <c r="K560" t="s">
        <v>1010</v>
      </c>
      <c r="L560" t="s">
        <v>30</v>
      </c>
      <c r="AG560" t="s">
        <v>706</v>
      </c>
      <c r="AH560" t="s">
        <v>705</v>
      </c>
      <c r="AI560" t="s">
        <v>353</v>
      </c>
      <c r="AJ560" t="s">
        <v>1010</v>
      </c>
      <c r="AK560" s="1">
        <v>-17781.04</v>
      </c>
      <c r="AL560" s="1">
        <v>0</v>
      </c>
      <c r="AM560" s="1">
        <v>-17781.04</v>
      </c>
      <c r="AN560" s="1">
        <v>-8890.52</v>
      </c>
      <c r="AO560" s="1">
        <v>0</v>
      </c>
      <c r="AP560" s="1">
        <v>-8890.52</v>
      </c>
      <c r="AQ560" s="1">
        <v>-9932.77</v>
      </c>
      <c r="AR560" s="1">
        <v>0</v>
      </c>
      <c r="AS560" s="1">
        <v>-9932.77</v>
      </c>
      <c r="AT560" s="1">
        <v>0</v>
      </c>
      <c r="BA560" s="195"/>
      <c r="BB560" s="195"/>
      <c r="BC560" s="195"/>
      <c r="BD560" s="195"/>
      <c r="BE560" s="195"/>
      <c r="BF560" s="195"/>
      <c r="BG560" s="195"/>
      <c r="BH560" s="195"/>
      <c r="BI560" s="195"/>
    </row>
    <row r="561" spans="1:61" x14ac:dyDescent="0.25">
      <c r="A561" t="s">
        <v>343</v>
      </c>
      <c r="B561" t="s">
        <v>344</v>
      </c>
      <c r="C561" t="s">
        <v>982</v>
      </c>
      <c r="D561" t="s">
        <v>45</v>
      </c>
      <c r="E561" t="s">
        <v>983</v>
      </c>
      <c r="F561" t="s">
        <v>42</v>
      </c>
      <c r="G561" t="s">
        <v>984</v>
      </c>
      <c r="H561" t="s">
        <v>36</v>
      </c>
      <c r="I561" t="s">
        <v>985</v>
      </c>
      <c r="J561" t="s">
        <v>32</v>
      </c>
      <c r="K561" t="s">
        <v>1011</v>
      </c>
      <c r="L561" t="s">
        <v>31</v>
      </c>
      <c r="AG561" t="s">
        <v>811</v>
      </c>
      <c r="AH561" t="s">
        <v>812</v>
      </c>
      <c r="AI561" t="s">
        <v>353</v>
      </c>
      <c r="AJ561" t="s">
        <v>1011</v>
      </c>
      <c r="AK561" s="1">
        <v>6000</v>
      </c>
      <c r="AL561" s="1">
        <v>0</v>
      </c>
      <c r="AM561" s="1">
        <v>6000</v>
      </c>
      <c r="AN561" s="1">
        <v>3000</v>
      </c>
      <c r="AO561" s="1">
        <v>0</v>
      </c>
      <c r="AP561" s="1">
        <v>3000</v>
      </c>
      <c r="AQ561" s="1">
        <v>3048</v>
      </c>
      <c r="AR561" s="1">
        <v>0</v>
      </c>
      <c r="AS561" s="1">
        <v>3048</v>
      </c>
      <c r="AT561" s="1">
        <v>0</v>
      </c>
      <c r="BA561" s="195"/>
      <c r="BB561" s="195"/>
      <c r="BC561" s="195"/>
      <c r="BD561" s="195"/>
      <c r="BE561" s="195"/>
      <c r="BF561" s="195"/>
      <c r="BG561" s="195"/>
      <c r="BH561" s="195"/>
      <c r="BI561" s="195"/>
    </row>
    <row r="562" spans="1:61" x14ac:dyDescent="0.25">
      <c r="A562" t="s">
        <v>343</v>
      </c>
      <c r="B562" t="s">
        <v>344</v>
      </c>
      <c r="C562" t="s">
        <v>982</v>
      </c>
      <c r="D562" t="s">
        <v>45</v>
      </c>
      <c r="E562" t="s">
        <v>983</v>
      </c>
      <c r="F562" t="s">
        <v>42</v>
      </c>
      <c r="G562" t="s">
        <v>984</v>
      </c>
      <c r="H562" t="s">
        <v>36</v>
      </c>
      <c r="I562" t="s">
        <v>985</v>
      </c>
      <c r="J562" t="s">
        <v>32</v>
      </c>
      <c r="K562" t="s">
        <v>1011</v>
      </c>
      <c r="L562" t="s">
        <v>31</v>
      </c>
      <c r="AG562" t="s">
        <v>813</v>
      </c>
      <c r="AH562" t="s">
        <v>814</v>
      </c>
      <c r="AI562" t="s">
        <v>353</v>
      </c>
      <c r="AJ562" t="s">
        <v>1011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276.24</v>
      </c>
      <c r="AR562" s="1">
        <v>0</v>
      </c>
      <c r="AS562" s="1">
        <v>276.24</v>
      </c>
      <c r="AT562" s="1">
        <v>0</v>
      </c>
      <c r="BA562" s="195"/>
      <c r="BB562" s="195"/>
      <c r="BC562" s="195"/>
      <c r="BD562" s="195"/>
      <c r="BE562" s="195"/>
      <c r="BF562" s="195"/>
      <c r="BG562" s="195"/>
      <c r="BH562" s="195"/>
      <c r="BI562" s="195"/>
    </row>
    <row r="563" spans="1:61" x14ac:dyDescent="0.25">
      <c r="A563" t="s">
        <v>343</v>
      </c>
      <c r="B563" t="s">
        <v>344</v>
      </c>
      <c r="C563" t="s">
        <v>982</v>
      </c>
      <c r="D563" t="s">
        <v>45</v>
      </c>
      <c r="E563" t="s">
        <v>983</v>
      </c>
      <c r="F563" t="s">
        <v>42</v>
      </c>
      <c r="G563" t="s">
        <v>984</v>
      </c>
      <c r="H563" t="s">
        <v>36</v>
      </c>
      <c r="I563" t="s">
        <v>985</v>
      </c>
      <c r="J563" t="s">
        <v>32</v>
      </c>
      <c r="K563" t="s">
        <v>1011</v>
      </c>
      <c r="L563" t="s">
        <v>31</v>
      </c>
      <c r="AG563" t="s">
        <v>815</v>
      </c>
      <c r="AH563" t="s">
        <v>816</v>
      </c>
      <c r="AI563" t="s">
        <v>353</v>
      </c>
      <c r="AJ563" t="s">
        <v>1011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0</v>
      </c>
      <c r="AQ563" s="1">
        <v>3126.14</v>
      </c>
      <c r="AR563" s="1">
        <v>0</v>
      </c>
      <c r="AS563" s="1">
        <v>3126.14</v>
      </c>
      <c r="AT563" s="1">
        <v>0</v>
      </c>
      <c r="BA563" s="195"/>
      <c r="BB563" s="195"/>
      <c r="BC563" s="195"/>
      <c r="BD563" s="195"/>
      <c r="BE563" s="195"/>
      <c r="BF563" s="195"/>
      <c r="BG563" s="195"/>
      <c r="BH563" s="195"/>
      <c r="BI563" s="195"/>
    </row>
    <row r="564" spans="1:61" x14ac:dyDescent="0.25">
      <c r="A564" t="s">
        <v>343</v>
      </c>
      <c r="B564" t="s">
        <v>344</v>
      </c>
      <c r="C564" t="s">
        <v>982</v>
      </c>
      <c r="D564" t="s">
        <v>45</v>
      </c>
      <c r="E564" t="s">
        <v>983</v>
      </c>
      <c r="F564" t="s">
        <v>42</v>
      </c>
      <c r="G564" t="s">
        <v>984</v>
      </c>
      <c r="H564" t="s">
        <v>36</v>
      </c>
      <c r="I564" t="s">
        <v>985</v>
      </c>
      <c r="J564" t="s">
        <v>32</v>
      </c>
      <c r="K564" t="s">
        <v>1011</v>
      </c>
      <c r="L564" t="s">
        <v>31</v>
      </c>
      <c r="AG564" t="s">
        <v>817</v>
      </c>
      <c r="AH564" t="s">
        <v>818</v>
      </c>
      <c r="AI564" t="s">
        <v>353</v>
      </c>
      <c r="AJ564" t="s">
        <v>1011</v>
      </c>
      <c r="AK564" s="1">
        <v>14677.4</v>
      </c>
      <c r="AL564" s="1">
        <v>0</v>
      </c>
      <c r="AM564" s="1">
        <v>14677.4</v>
      </c>
      <c r="AN564" s="1">
        <v>7338.7</v>
      </c>
      <c r="AO564" s="1">
        <v>0</v>
      </c>
      <c r="AP564" s="1">
        <v>7338.7</v>
      </c>
      <c r="AQ564" s="1">
        <v>34725.339999999997</v>
      </c>
      <c r="AR564" s="1">
        <v>0</v>
      </c>
      <c r="AS564" s="1">
        <v>34725.339999999997</v>
      </c>
      <c r="AT564" s="1">
        <v>0</v>
      </c>
      <c r="BA564" s="195"/>
      <c r="BB564" s="195"/>
      <c r="BC564" s="195"/>
      <c r="BD564" s="195"/>
      <c r="BE564" s="195"/>
      <c r="BF564" s="195"/>
      <c r="BG564" s="195"/>
      <c r="BH564" s="195"/>
      <c r="BI564" s="195"/>
    </row>
    <row r="565" spans="1:61" x14ac:dyDescent="0.25">
      <c r="A565" t="s">
        <v>343</v>
      </c>
      <c r="B565" t="s">
        <v>344</v>
      </c>
      <c r="C565" t="s">
        <v>982</v>
      </c>
      <c r="D565" t="s">
        <v>45</v>
      </c>
      <c r="E565" t="s">
        <v>983</v>
      </c>
      <c r="F565" t="s">
        <v>42</v>
      </c>
      <c r="G565" t="s">
        <v>984</v>
      </c>
      <c r="H565" t="s">
        <v>36</v>
      </c>
      <c r="I565" t="s">
        <v>985</v>
      </c>
      <c r="J565" t="s">
        <v>32</v>
      </c>
      <c r="K565" t="s">
        <v>1011</v>
      </c>
      <c r="L565" t="s">
        <v>31</v>
      </c>
      <c r="AG565" t="s">
        <v>819</v>
      </c>
      <c r="AH565" t="s">
        <v>820</v>
      </c>
      <c r="AI565" t="s">
        <v>353</v>
      </c>
      <c r="AJ565" t="s">
        <v>1011</v>
      </c>
      <c r="AK565" s="1">
        <v>12734</v>
      </c>
      <c r="AL565" s="1">
        <v>0</v>
      </c>
      <c r="AM565" s="1">
        <v>12734</v>
      </c>
      <c r="AN565" s="1">
        <v>6367</v>
      </c>
      <c r="AO565" s="1">
        <v>0</v>
      </c>
      <c r="AP565" s="1">
        <v>6367</v>
      </c>
      <c r="AQ565" s="1">
        <v>10932</v>
      </c>
      <c r="AR565" s="1">
        <v>0</v>
      </c>
      <c r="AS565" s="1">
        <v>10932</v>
      </c>
      <c r="AT565" s="1">
        <v>0</v>
      </c>
      <c r="BA565" s="195"/>
      <c r="BB565" s="195"/>
      <c r="BC565" s="195"/>
      <c r="BD565" s="195"/>
      <c r="BE565" s="195"/>
      <c r="BF565" s="195"/>
      <c r="BG565" s="195"/>
      <c r="BH565" s="195"/>
      <c r="BI565" s="195"/>
    </row>
    <row r="566" spans="1:61" x14ac:dyDescent="0.25">
      <c r="A566" t="s">
        <v>343</v>
      </c>
      <c r="B566" t="s">
        <v>344</v>
      </c>
      <c r="C566" t="s">
        <v>982</v>
      </c>
      <c r="D566" t="s">
        <v>45</v>
      </c>
      <c r="E566" t="s">
        <v>983</v>
      </c>
      <c r="F566" t="s">
        <v>42</v>
      </c>
      <c r="G566" t="s">
        <v>984</v>
      </c>
      <c r="H566" t="s">
        <v>36</v>
      </c>
      <c r="I566" t="s">
        <v>1012</v>
      </c>
      <c r="J566" t="s">
        <v>34</v>
      </c>
      <c r="AG566" t="s">
        <v>797</v>
      </c>
      <c r="AH566" t="s">
        <v>798</v>
      </c>
      <c r="AI566" t="s">
        <v>353</v>
      </c>
      <c r="AJ566" t="s">
        <v>1012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v>0</v>
      </c>
      <c r="AQ566" s="1">
        <v>950</v>
      </c>
      <c r="AR566" s="1">
        <v>0</v>
      </c>
      <c r="AS566" s="1">
        <v>950</v>
      </c>
      <c r="AT566" s="1">
        <v>0</v>
      </c>
      <c r="BA566" s="195"/>
      <c r="BB566" s="195"/>
      <c r="BC566" s="195"/>
      <c r="BD566" s="195"/>
      <c r="BE566" s="195"/>
      <c r="BF566" s="195"/>
      <c r="BG566" s="195"/>
      <c r="BH566" s="195"/>
      <c r="BI566" s="195"/>
    </row>
    <row r="567" spans="1:61" x14ac:dyDescent="0.25">
      <c r="A567" t="s">
        <v>343</v>
      </c>
      <c r="B567" t="s">
        <v>344</v>
      </c>
      <c r="C567" t="s">
        <v>982</v>
      </c>
      <c r="D567" t="s">
        <v>45</v>
      </c>
      <c r="E567" t="s">
        <v>983</v>
      </c>
      <c r="F567" t="s">
        <v>42</v>
      </c>
      <c r="G567" t="s">
        <v>984</v>
      </c>
      <c r="H567" t="s">
        <v>36</v>
      </c>
      <c r="I567" t="s">
        <v>1012</v>
      </c>
      <c r="J567" t="s">
        <v>34</v>
      </c>
      <c r="AG567" t="s">
        <v>799</v>
      </c>
      <c r="AH567" t="s">
        <v>800</v>
      </c>
      <c r="AI567" t="s">
        <v>353</v>
      </c>
      <c r="AJ567" t="s">
        <v>1012</v>
      </c>
      <c r="AK567" s="1">
        <v>8659.5</v>
      </c>
      <c r="AL567" s="1">
        <v>0</v>
      </c>
      <c r="AM567" s="1">
        <v>8659.5</v>
      </c>
      <c r="AN567" s="1">
        <v>4329.75</v>
      </c>
      <c r="AO567" s="1">
        <v>0</v>
      </c>
      <c r="AP567" s="1">
        <v>4329.75</v>
      </c>
      <c r="AQ567" s="1">
        <v>2480.04</v>
      </c>
      <c r="AR567" s="1">
        <v>0</v>
      </c>
      <c r="AS567" s="1">
        <v>2480.04</v>
      </c>
      <c r="AT567" s="1">
        <v>0</v>
      </c>
      <c r="BA567" s="195"/>
      <c r="BB567" s="195"/>
      <c r="BC567" s="195"/>
      <c r="BD567" s="195"/>
      <c r="BE567" s="195"/>
      <c r="BF567" s="195"/>
      <c r="BG567" s="195"/>
      <c r="BH567" s="195"/>
      <c r="BI567" s="195"/>
    </row>
    <row r="568" spans="1:61" x14ac:dyDescent="0.25">
      <c r="A568" t="s">
        <v>343</v>
      </c>
      <c r="B568" t="s">
        <v>344</v>
      </c>
      <c r="C568" t="s">
        <v>982</v>
      </c>
      <c r="D568" t="s">
        <v>45</v>
      </c>
      <c r="E568" t="s">
        <v>983</v>
      </c>
      <c r="F568" t="s">
        <v>42</v>
      </c>
      <c r="G568" t="s">
        <v>984</v>
      </c>
      <c r="H568" t="s">
        <v>36</v>
      </c>
      <c r="I568" t="s">
        <v>1012</v>
      </c>
      <c r="J568" t="s">
        <v>34</v>
      </c>
      <c r="AG568" t="s">
        <v>801</v>
      </c>
      <c r="AH568" t="s">
        <v>802</v>
      </c>
      <c r="AI568" t="s">
        <v>353</v>
      </c>
      <c r="AJ568" t="s">
        <v>1012</v>
      </c>
      <c r="AK568" s="1">
        <v>81421.399999999994</v>
      </c>
      <c r="AL568" s="1">
        <v>0</v>
      </c>
      <c r="AM568" s="1">
        <v>81421.399999999994</v>
      </c>
      <c r="AN568" s="1">
        <v>40710.699999999997</v>
      </c>
      <c r="AO568" s="1">
        <v>0</v>
      </c>
      <c r="AP568" s="1">
        <v>40710.699999999997</v>
      </c>
      <c r="AQ568" s="1">
        <v>27022.240000000002</v>
      </c>
      <c r="AR568" s="1">
        <v>0</v>
      </c>
      <c r="AS568" s="1">
        <v>27022.240000000002</v>
      </c>
      <c r="AT568" s="1">
        <v>0</v>
      </c>
      <c r="BA568" s="195"/>
      <c r="BB568" s="195"/>
      <c r="BC568" s="195"/>
      <c r="BD568" s="195"/>
      <c r="BE568" s="195"/>
      <c r="BF568" s="195"/>
      <c r="BG568" s="195"/>
      <c r="BH568" s="195"/>
      <c r="BI568" s="195"/>
    </row>
    <row r="569" spans="1:61" x14ac:dyDescent="0.25">
      <c r="A569" t="s">
        <v>343</v>
      </c>
      <c r="B569" t="s">
        <v>344</v>
      </c>
      <c r="C569" t="s">
        <v>982</v>
      </c>
      <c r="D569" t="s">
        <v>45</v>
      </c>
      <c r="E569" t="s">
        <v>983</v>
      </c>
      <c r="F569" t="s">
        <v>42</v>
      </c>
      <c r="G569" t="s">
        <v>984</v>
      </c>
      <c r="H569" t="s">
        <v>36</v>
      </c>
      <c r="I569" t="s">
        <v>1012</v>
      </c>
      <c r="J569" t="s">
        <v>34</v>
      </c>
      <c r="AG569" t="s">
        <v>803</v>
      </c>
      <c r="AH569" t="s">
        <v>804</v>
      </c>
      <c r="AI569" t="s">
        <v>353</v>
      </c>
      <c r="AJ569" t="s">
        <v>1012</v>
      </c>
      <c r="AK569" s="1">
        <v>0.16</v>
      </c>
      <c r="AL569" s="1">
        <v>0</v>
      </c>
      <c r="AM569" s="1">
        <v>0.16</v>
      </c>
      <c r="AN569" s="1">
        <v>0.08</v>
      </c>
      <c r="AO569" s="1">
        <v>0</v>
      </c>
      <c r="AP569" s="1">
        <v>0.08</v>
      </c>
      <c r="AQ569" s="1">
        <v>0</v>
      </c>
      <c r="AR569" s="1">
        <v>0</v>
      </c>
      <c r="AS569" s="1">
        <v>0</v>
      </c>
      <c r="AT569" s="1">
        <v>0</v>
      </c>
      <c r="BA569" s="195"/>
      <c r="BB569" s="195"/>
      <c r="BC569" s="195"/>
      <c r="BD569" s="195"/>
      <c r="BE569" s="195"/>
      <c r="BF569" s="195"/>
      <c r="BG569" s="195"/>
      <c r="BH569" s="195"/>
      <c r="BI569" s="195"/>
    </row>
    <row r="570" spans="1:61" x14ac:dyDescent="0.25">
      <c r="A570" t="s">
        <v>343</v>
      </c>
      <c r="B570" t="s">
        <v>344</v>
      </c>
      <c r="C570" t="s">
        <v>982</v>
      </c>
      <c r="D570" t="s">
        <v>45</v>
      </c>
      <c r="E570" t="s">
        <v>983</v>
      </c>
      <c r="F570" t="s">
        <v>42</v>
      </c>
      <c r="G570" t="s">
        <v>984</v>
      </c>
      <c r="H570" t="s">
        <v>36</v>
      </c>
      <c r="I570" t="s">
        <v>1013</v>
      </c>
      <c r="J570" t="s">
        <v>35</v>
      </c>
      <c r="AG570" t="s">
        <v>707</v>
      </c>
      <c r="AH570" t="s">
        <v>708</v>
      </c>
      <c r="AI570" t="s">
        <v>353</v>
      </c>
      <c r="AJ570" t="s">
        <v>1013</v>
      </c>
      <c r="AK570" s="1">
        <v>-2016.8</v>
      </c>
      <c r="AL570" s="1">
        <v>0</v>
      </c>
      <c r="AM570" s="1">
        <v>-2016.8</v>
      </c>
      <c r="AN570" s="1">
        <v>-1008.4</v>
      </c>
      <c r="AO570" s="1">
        <v>0</v>
      </c>
      <c r="AP570" s="1">
        <v>-1008.4</v>
      </c>
      <c r="AQ570" s="1">
        <v>-3229.57</v>
      </c>
      <c r="AR570" s="1">
        <v>0</v>
      </c>
      <c r="AS570" s="1">
        <v>-3229.57</v>
      </c>
      <c r="AT570" s="1">
        <v>0</v>
      </c>
      <c r="BA570" s="195"/>
      <c r="BB570" s="195"/>
      <c r="BC570" s="195"/>
      <c r="BD570" s="195"/>
      <c r="BE570" s="195"/>
      <c r="BF570" s="195"/>
      <c r="BG570" s="195"/>
      <c r="BH570" s="195"/>
      <c r="BI570" s="195"/>
    </row>
    <row r="571" spans="1:61" x14ac:dyDescent="0.25">
      <c r="A571" t="s">
        <v>343</v>
      </c>
      <c r="B571" t="s">
        <v>344</v>
      </c>
      <c r="C571" t="s">
        <v>982</v>
      </c>
      <c r="D571" t="s">
        <v>45</v>
      </c>
      <c r="E571" t="s">
        <v>983</v>
      </c>
      <c r="F571" t="s">
        <v>42</v>
      </c>
      <c r="G571" t="s">
        <v>984</v>
      </c>
      <c r="H571" t="s">
        <v>36</v>
      </c>
      <c r="I571" t="s">
        <v>1013</v>
      </c>
      <c r="J571" t="s">
        <v>35</v>
      </c>
      <c r="AG571" t="s">
        <v>709</v>
      </c>
      <c r="AH571" t="s">
        <v>710</v>
      </c>
      <c r="AI571" t="s">
        <v>353</v>
      </c>
      <c r="AJ571" t="s">
        <v>1013</v>
      </c>
      <c r="AK571" s="1">
        <v>-0.26</v>
      </c>
      <c r="AL571" s="1">
        <v>0</v>
      </c>
      <c r="AM571" s="1">
        <v>-0.26</v>
      </c>
      <c r="AN571" s="1">
        <v>-0.13</v>
      </c>
      <c r="AO571" s="1">
        <v>0</v>
      </c>
      <c r="AP571" s="1">
        <v>-0.13</v>
      </c>
      <c r="AQ571" s="1">
        <v>0</v>
      </c>
      <c r="AR571" s="1">
        <v>0</v>
      </c>
      <c r="AS571" s="1">
        <v>0</v>
      </c>
      <c r="AT571" s="1">
        <v>0</v>
      </c>
      <c r="BA571" s="195"/>
      <c r="BB571" s="195"/>
      <c r="BC571" s="195"/>
      <c r="BD571" s="195"/>
      <c r="BE571" s="195"/>
      <c r="BF571" s="195"/>
      <c r="BG571" s="195"/>
      <c r="BH571" s="195"/>
      <c r="BI571" s="195"/>
    </row>
    <row r="572" spans="1:61" x14ac:dyDescent="0.25">
      <c r="A572" t="s">
        <v>343</v>
      </c>
      <c r="B572" t="s">
        <v>344</v>
      </c>
      <c r="C572" t="s">
        <v>982</v>
      </c>
      <c r="D572" t="s">
        <v>45</v>
      </c>
      <c r="E572" t="s">
        <v>983</v>
      </c>
      <c r="F572" t="s">
        <v>42</v>
      </c>
      <c r="G572" t="s">
        <v>1014</v>
      </c>
      <c r="H572" t="s">
        <v>39</v>
      </c>
      <c r="I572" t="s">
        <v>1015</v>
      </c>
      <c r="J572" t="s">
        <v>37</v>
      </c>
      <c r="AG572" t="s">
        <v>805</v>
      </c>
      <c r="AH572" t="s">
        <v>806</v>
      </c>
      <c r="AI572" t="s">
        <v>353</v>
      </c>
      <c r="AJ572" t="s">
        <v>1015</v>
      </c>
      <c r="AK572" s="1">
        <v>95785.84</v>
      </c>
      <c r="AL572" s="1">
        <v>0</v>
      </c>
      <c r="AM572" s="1">
        <v>95785.84</v>
      </c>
      <c r="AN572" s="1">
        <v>47892.92</v>
      </c>
      <c r="AO572" s="1">
        <v>0</v>
      </c>
      <c r="AP572" s="1">
        <v>47892.92</v>
      </c>
      <c r="AQ572" s="1">
        <v>9.9499999999999993</v>
      </c>
      <c r="AR572" s="1">
        <v>0</v>
      </c>
      <c r="AS572" s="1">
        <v>9.9499999999999993</v>
      </c>
      <c r="AT572" s="1">
        <v>0</v>
      </c>
      <c r="BA572" s="195"/>
      <c r="BB572" s="195"/>
      <c r="BC572" s="195"/>
      <c r="BD572" s="195"/>
      <c r="BE572" s="195"/>
      <c r="BF572" s="195"/>
      <c r="BG572" s="195"/>
      <c r="BH572" s="195"/>
      <c r="BI572" s="195"/>
    </row>
    <row r="573" spans="1:61" x14ac:dyDescent="0.25">
      <c r="A573" t="s">
        <v>343</v>
      </c>
      <c r="B573" t="s">
        <v>344</v>
      </c>
      <c r="C573" t="s">
        <v>982</v>
      </c>
      <c r="D573" t="s">
        <v>45</v>
      </c>
      <c r="E573" t="s">
        <v>983</v>
      </c>
      <c r="F573" t="s">
        <v>42</v>
      </c>
      <c r="G573" t="s">
        <v>1014</v>
      </c>
      <c r="H573" t="s">
        <v>39</v>
      </c>
      <c r="I573" t="s">
        <v>1015</v>
      </c>
      <c r="J573" t="s">
        <v>37</v>
      </c>
      <c r="AG573" t="s">
        <v>807</v>
      </c>
      <c r="AH573" t="s">
        <v>808</v>
      </c>
      <c r="AI573" t="s">
        <v>353</v>
      </c>
      <c r="AJ573" t="s">
        <v>1015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0.84</v>
      </c>
      <c r="AR573" s="1">
        <v>0</v>
      </c>
      <c r="AS573" s="1">
        <v>0.84</v>
      </c>
      <c r="AT573" s="1">
        <v>0</v>
      </c>
      <c r="BA573" s="195"/>
      <c r="BB573" s="195"/>
      <c r="BC573" s="195"/>
      <c r="BD573" s="195"/>
      <c r="BE573" s="195"/>
      <c r="BF573" s="195"/>
      <c r="BG573" s="195"/>
      <c r="BH573" s="195"/>
      <c r="BI573" s="195"/>
    </row>
    <row r="574" spans="1:61" x14ac:dyDescent="0.25">
      <c r="A574" t="s">
        <v>343</v>
      </c>
      <c r="B574" t="s">
        <v>344</v>
      </c>
      <c r="C574" t="s">
        <v>982</v>
      </c>
      <c r="D574" t="s">
        <v>45</v>
      </c>
      <c r="E574" t="s">
        <v>983</v>
      </c>
      <c r="F574" t="s">
        <v>42</v>
      </c>
      <c r="G574" t="s">
        <v>1014</v>
      </c>
      <c r="H574" t="s">
        <v>39</v>
      </c>
      <c r="I574" t="s">
        <v>1016</v>
      </c>
      <c r="J574" t="s">
        <v>38</v>
      </c>
      <c r="AG574" t="s">
        <v>711</v>
      </c>
      <c r="AH574" t="s">
        <v>712</v>
      </c>
      <c r="AI574" t="s">
        <v>353</v>
      </c>
      <c r="AJ574" t="s">
        <v>1016</v>
      </c>
      <c r="AK574" s="1">
        <v>-360</v>
      </c>
      <c r="AL574" s="1">
        <v>0</v>
      </c>
      <c r="AM574" s="1">
        <v>-360</v>
      </c>
      <c r="AN574" s="1">
        <v>-180</v>
      </c>
      <c r="AO574" s="1">
        <v>0</v>
      </c>
      <c r="AP574" s="1">
        <v>-180</v>
      </c>
      <c r="AQ574" s="1">
        <v>-90</v>
      </c>
      <c r="AR574" s="1">
        <v>0</v>
      </c>
      <c r="AS574" s="1">
        <v>-90</v>
      </c>
      <c r="AT574" s="1">
        <v>0</v>
      </c>
      <c r="BA574" s="195"/>
      <c r="BB574" s="195"/>
      <c r="BC574" s="195"/>
      <c r="BD574" s="195"/>
      <c r="BE574" s="195"/>
      <c r="BF574" s="195"/>
      <c r="BG574" s="195"/>
      <c r="BH574" s="195"/>
      <c r="BI574" s="195"/>
    </row>
    <row r="575" spans="1:61" x14ac:dyDescent="0.25">
      <c r="A575" t="s">
        <v>343</v>
      </c>
      <c r="B575" t="s">
        <v>344</v>
      </c>
      <c r="C575" t="s">
        <v>982</v>
      </c>
      <c r="D575" t="s">
        <v>45</v>
      </c>
      <c r="E575" t="s">
        <v>983</v>
      </c>
      <c r="F575" t="s">
        <v>42</v>
      </c>
      <c r="G575" t="s">
        <v>1014</v>
      </c>
      <c r="H575" t="s">
        <v>39</v>
      </c>
      <c r="I575" t="s">
        <v>1016</v>
      </c>
      <c r="J575" t="s">
        <v>38</v>
      </c>
      <c r="AG575" t="s">
        <v>713</v>
      </c>
      <c r="AH575" t="s">
        <v>714</v>
      </c>
      <c r="AI575" t="s">
        <v>353</v>
      </c>
      <c r="AJ575" t="s">
        <v>1016</v>
      </c>
      <c r="AK575" s="1">
        <v>-9.76</v>
      </c>
      <c r="AL575" s="1">
        <v>0</v>
      </c>
      <c r="AM575" s="1">
        <v>-9.76</v>
      </c>
      <c r="AN575" s="1">
        <v>-4.88</v>
      </c>
      <c r="AO575" s="1">
        <v>0</v>
      </c>
      <c r="AP575" s="1">
        <v>-4.88</v>
      </c>
      <c r="AQ575" s="1">
        <v>-4816.53</v>
      </c>
      <c r="AR575" s="1">
        <v>0</v>
      </c>
      <c r="AS575" s="1">
        <v>-4816.53</v>
      </c>
      <c r="AT575" s="1">
        <v>0</v>
      </c>
      <c r="BA575" s="195"/>
      <c r="BB575" s="195"/>
      <c r="BC575" s="195"/>
      <c r="BD575" s="195"/>
      <c r="BE575" s="195"/>
      <c r="BF575" s="195"/>
      <c r="BG575" s="195"/>
      <c r="BH575" s="195"/>
      <c r="BI575" s="195"/>
    </row>
    <row r="576" spans="1:61" x14ac:dyDescent="0.25">
      <c r="A576" t="s">
        <v>343</v>
      </c>
      <c r="B576" t="s">
        <v>344</v>
      </c>
      <c r="C576" t="s">
        <v>982</v>
      </c>
      <c r="D576" t="s">
        <v>45</v>
      </c>
      <c r="E576" t="s">
        <v>983</v>
      </c>
      <c r="F576" t="s">
        <v>42</v>
      </c>
      <c r="G576" t="s">
        <v>1014</v>
      </c>
      <c r="H576" t="s">
        <v>39</v>
      </c>
      <c r="I576" t="s">
        <v>1016</v>
      </c>
      <c r="J576" t="s">
        <v>38</v>
      </c>
      <c r="AG576" t="s">
        <v>715</v>
      </c>
      <c r="AH576" t="s">
        <v>716</v>
      </c>
      <c r="AI576" t="s">
        <v>353</v>
      </c>
      <c r="AJ576" t="s">
        <v>1016</v>
      </c>
      <c r="AK576" s="1">
        <v>-22238.82</v>
      </c>
      <c r="AL576" s="1">
        <v>0</v>
      </c>
      <c r="AM576" s="1">
        <v>-22238.82</v>
      </c>
      <c r="AN576" s="1">
        <v>-11119.41</v>
      </c>
      <c r="AO576" s="1">
        <v>0</v>
      </c>
      <c r="AP576" s="1">
        <v>-11119.41</v>
      </c>
      <c r="AQ576" s="1">
        <v>0</v>
      </c>
      <c r="AR576" s="1">
        <v>0</v>
      </c>
      <c r="AS576" s="1">
        <v>0</v>
      </c>
      <c r="AT576" s="1">
        <v>0</v>
      </c>
      <c r="BA576" s="195"/>
      <c r="BB576" s="195"/>
      <c r="BC576" s="195"/>
      <c r="BD576" s="195"/>
      <c r="BE576" s="195"/>
      <c r="BF576" s="195"/>
      <c r="BG576" s="195"/>
      <c r="BH576" s="195"/>
      <c r="BI576" s="195"/>
    </row>
    <row r="577" spans="1:61" x14ac:dyDescent="0.25">
      <c r="A577" t="s">
        <v>343</v>
      </c>
      <c r="B577" t="s">
        <v>344</v>
      </c>
      <c r="C577" t="s">
        <v>982</v>
      </c>
      <c r="D577" t="s">
        <v>45</v>
      </c>
      <c r="E577" t="s">
        <v>983</v>
      </c>
      <c r="F577" t="s">
        <v>42</v>
      </c>
      <c r="G577" t="s">
        <v>1017</v>
      </c>
      <c r="H577" t="s">
        <v>40</v>
      </c>
      <c r="AG577" t="s">
        <v>733</v>
      </c>
      <c r="AH577" t="s">
        <v>734</v>
      </c>
      <c r="AI577" t="s">
        <v>353</v>
      </c>
      <c r="AJ577" t="s">
        <v>1017</v>
      </c>
      <c r="AK577" s="1">
        <v>-481680</v>
      </c>
      <c r="AL577" s="1">
        <v>0</v>
      </c>
      <c r="AM577" s="1">
        <v>-481680</v>
      </c>
      <c r="AN577" s="1">
        <v>-240840</v>
      </c>
      <c r="AO577" s="1">
        <v>0</v>
      </c>
      <c r="AP577" s="1">
        <v>-240840</v>
      </c>
      <c r="AQ577" s="1">
        <v>-231859</v>
      </c>
      <c r="AR577" s="1">
        <v>0</v>
      </c>
      <c r="AS577" s="1">
        <v>-231859</v>
      </c>
      <c r="AT577" s="1">
        <v>0</v>
      </c>
      <c r="BA577" s="195"/>
      <c r="BB577" s="195"/>
      <c r="BC577" s="195"/>
      <c r="BD577" s="195"/>
      <c r="BE577" s="195"/>
      <c r="BF577" s="195"/>
      <c r="BG577" s="195"/>
      <c r="BH577" s="195"/>
      <c r="BI577" s="195"/>
    </row>
    <row r="578" spans="1:61" x14ac:dyDescent="0.25">
      <c r="A578" t="s">
        <v>343</v>
      </c>
      <c r="B578" t="s">
        <v>344</v>
      </c>
      <c r="C578" t="s">
        <v>982</v>
      </c>
      <c r="D578" t="s">
        <v>45</v>
      </c>
      <c r="E578" t="s">
        <v>983</v>
      </c>
      <c r="F578" t="s">
        <v>42</v>
      </c>
      <c r="G578" t="s">
        <v>1018</v>
      </c>
      <c r="H578" t="s">
        <v>41</v>
      </c>
      <c r="AG578" t="s">
        <v>735</v>
      </c>
      <c r="AH578" t="s">
        <v>736</v>
      </c>
      <c r="AI578" t="s">
        <v>353</v>
      </c>
      <c r="AJ578" t="s">
        <v>1018</v>
      </c>
      <c r="AK578" s="1">
        <v>-1097112</v>
      </c>
      <c r="AL578" s="1">
        <v>0</v>
      </c>
      <c r="AM578" s="1">
        <v>-1097112</v>
      </c>
      <c r="AN578" s="1">
        <v>-548556</v>
      </c>
      <c r="AO578" s="1">
        <v>0</v>
      </c>
      <c r="AP578" s="1">
        <v>-548556</v>
      </c>
      <c r="AQ578" s="1">
        <v>-530069</v>
      </c>
      <c r="AR578" s="1">
        <v>0</v>
      </c>
      <c r="AS578" s="1">
        <v>-530069</v>
      </c>
      <c r="AT578" s="1">
        <v>0</v>
      </c>
      <c r="BA578" s="195"/>
      <c r="BB578" s="195"/>
      <c r="BC578" s="195"/>
      <c r="BD578" s="195"/>
      <c r="BE578" s="195"/>
      <c r="BF578" s="195"/>
      <c r="BG578" s="195"/>
      <c r="BH578" s="195"/>
      <c r="BI578" s="195"/>
    </row>
    <row r="579" spans="1:61" x14ac:dyDescent="0.25">
      <c r="A579" t="s">
        <v>343</v>
      </c>
      <c r="B579" t="s">
        <v>344</v>
      </c>
      <c r="C579" t="s">
        <v>1019</v>
      </c>
      <c r="D579" t="s">
        <v>1020</v>
      </c>
      <c r="E579" t="s">
        <v>1021</v>
      </c>
      <c r="F579" t="s">
        <v>28</v>
      </c>
      <c r="AG579" t="s">
        <v>508</v>
      </c>
      <c r="AH579" t="s">
        <v>509</v>
      </c>
      <c r="AI579" t="s">
        <v>353</v>
      </c>
      <c r="AJ579" t="s">
        <v>1021</v>
      </c>
      <c r="AK579" s="1">
        <v>0</v>
      </c>
      <c r="AL579" s="1">
        <v>0</v>
      </c>
      <c r="AM579" s="1">
        <v>0</v>
      </c>
      <c r="AN579" s="1">
        <v>0</v>
      </c>
      <c r="AO579" s="1">
        <v>0</v>
      </c>
      <c r="AP579" s="1">
        <v>0</v>
      </c>
      <c r="AQ579" s="1">
        <v>-330</v>
      </c>
      <c r="AR579" s="1">
        <v>0</v>
      </c>
      <c r="AS579" s="1">
        <v>-330</v>
      </c>
      <c r="AT579" s="1">
        <v>0</v>
      </c>
      <c r="BA579" s="195"/>
      <c r="BB579" s="195"/>
      <c r="BC579" s="195"/>
      <c r="BD579" s="195"/>
      <c r="BE579" s="195"/>
      <c r="BF579" s="195"/>
      <c r="BG579" s="195"/>
      <c r="BH579" s="195"/>
      <c r="BI579" s="195"/>
    </row>
    <row r="580" spans="1:61" x14ac:dyDescent="0.25">
      <c r="A580" t="s">
        <v>343</v>
      </c>
      <c r="B580" t="s">
        <v>344</v>
      </c>
      <c r="C580" t="s">
        <v>1019</v>
      </c>
      <c r="D580" t="s">
        <v>1020</v>
      </c>
      <c r="E580" t="s">
        <v>1021</v>
      </c>
      <c r="F580" t="s">
        <v>28</v>
      </c>
      <c r="AG580" t="s">
        <v>510</v>
      </c>
      <c r="AH580" t="s">
        <v>511</v>
      </c>
      <c r="AI580" t="s">
        <v>353</v>
      </c>
      <c r="AJ580" t="s">
        <v>1021</v>
      </c>
      <c r="AK580" s="1">
        <v>-1178</v>
      </c>
      <c r="AL580" s="1">
        <v>0</v>
      </c>
      <c r="AM580" s="1">
        <v>-1178</v>
      </c>
      <c r="AN580" s="1">
        <v>-40273.019999999997</v>
      </c>
      <c r="AO580" s="1">
        <v>0</v>
      </c>
      <c r="AP580" s="1">
        <v>-40273.019999999997</v>
      </c>
      <c r="AQ580" s="1">
        <v>-28364.67</v>
      </c>
      <c r="AR580" s="1">
        <v>0</v>
      </c>
      <c r="AS580" s="1">
        <v>-28364.67</v>
      </c>
      <c r="AT580" s="1">
        <v>0</v>
      </c>
      <c r="BA580" s="195"/>
      <c r="BB580" s="195"/>
      <c r="BC580" s="195"/>
      <c r="BD580" s="195"/>
      <c r="BE580" s="195"/>
      <c r="BF580" s="195"/>
      <c r="BG580" s="195"/>
      <c r="BH580" s="195"/>
      <c r="BI580" s="195"/>
    </row>
    <row r="581" spans="1:61" x14ac:dyDescent="0.25">
      <c r="A581" t="s">
        <v>343</v>
      </c>
      <c r="B581" t="s">
        <v>344</v>
      </c>
      <c r="C581" t="s">
        <v>1019</v>
      </c>
      <c r="D581" t="s">
        <v>1020</v>
      </c>
      <c r="E581" t="s">
        <v>1021</v>
      </c>
      <c r="F581" t="s">
        <v>28</v>
      </c>
      <c r="AG581" t="s">
        <v>512</v>
      </c>
      <c r="AH581" t="s">
        <v>513</v>
      </c>
      <c r="AI581" t="s">
        <v>353</v>
      </c>
      <c r="AJ581" t="s">
        <v>1021</v>
      </c>
      <c r="AK581" s="1">
        <v>-72710</v>
      </c>
      <c r="AL581" s="1">
        <v>0</v>
      </c>
      <c r="AM581" s="1">
        <v>-72710</v>
      </c>
      <c r="AN581" s="1">
        <v>-36355</v>
      </c>
      <c r="AO581" s="1">
        <v>0</v>
      </c>
      <c r="AP581" s="1">
        <v>-36355</v>
      </c>
      <c r="AQ581" s="1">
        <v>-133914.34</v>
      </c>
      <c r="AR581" s="1">
        <v>0</v>
      </c>
      <c r="AS581" s="1">
        <v>-133914.34</v>
      </c>
      <c r="AT581" s="1">
        <v>0</v>
      </c>
      <c r="BA581" s="195"/>
      <c r="BB581" s="195"/>
      <c r="BC581" s="195"/>
      <c r="BD581" s="195"/>
      <c r="BE581" s="195"/>
      <c r="BF581" s="195"/>
      <c r="BG581" s="195"/>
      <c r="BH581" s="195"/>
      <c r="BI581" s="195"/>
    </row>
    <row r="582" spans="1:61" x14ac:dyDescent="0.25">
      <c r="A582" t="s">
        <v>343</v>
      </c>
      <c r="B582" t="s">
        <v>344</v>
      </c>
      <c r="C582" t="s">
        <v>1019</v>
      </c>
      <c r="D582" t="s">
        <v>1020</v>
      </c>
      <c r="E582" t="s">
        <v>1021</v>
      </c>
      <c r="F582" t="s">
        <v>28</v>
      </c>
      <c r="AG582" t="s">
        <v>514</v>
      </c>
      <c r="AH582" t="s">
        <v>515</v>
      </c>
      <c r="AI582" t="s">
        <v>353</v>
      </c>
      <c r="AJ582" t="s">
        <v>1021</v>
      </c>
      <c r="AK582" s="1">
        <v>-6789.34</v>
      </c>
      <c r="AL582" s="1">
        <v>0</v>
      </c>
      <c r="AM582" s="1">
        <v>-6789.34</v>
      </c>
      <c r="AN582" s="1">
        <v>-3394.67</v>
      </c>
      <c r="AO582" s="1">
        <v>0</v>
      </c>
      <c r="AP582" s="1">
        <v>-3394.67</v>
      </c>
      <c r="AQ582" s="1">
        <v>-10788.15</v>
      </c>
      <c r="AR582" s="1">
        <v>0</v>
      </c>
      <c r="AS582" s="1">
        <v>-10788.15</v>
      </c>
      <c r="AT582" s="1">
        <v>0</v>
      </c>
      <c r="BA582" s="195"/>
      <c r="BB582" s="195"/>
      <c r="BC582" s="195"/>
      <c r="BD582" s="195"/>
      <c r="BE582" s="195"/>
      <c r="BF582" s="195"/>
      <c r="BG582" s="195"/>
      <c r="BH582" s="195"/>
      <c r="BI582" s="195"/>
    </row>
    <row r="583" spans="1:61" x14ac:dyDescent="0.25">
      <c r="A583" t="s">
        <v>343</v>
      </c>
      <c r="B583" t="s">
        <v>344</v>
      </c>
      <c r="C583" t="s">
        <v>1019</v>
      </c>
      <c r="D583" t="s">
        <v>1020</v>
      </c>
      <c r="E583" t="s">
        <v>1021</v>
      </c>
      <c r="F583" t="s">
        <v>28</v>
      </c>
      <c r="AG583" t="s">
        <v>516</v>
      </c>
      <c r="AH583" t="s">
        <v>517</v>
      </c>
      <c r="AI583" t="s">
        <v>353</v>
      </c>
      <c r="AJ583" t="s">
        <v>1021</v>
      </c>
      <c r="AK583" s="1">
        <v>-180000</v>
      </c>
      <c r="AL583" s="1">
        <v>0</v>
      </c>
      <c r="AM583" s="1">
        <v>-180000</v>
      </c>
      <c r="AN583" s="1">
        <v>-82617.710000000006</v>
      </c>
      <c r="AO583" s="1">
        <v>0</v>
      </c>
      <c r="AP583" s="1">
        <v>-82617.710000000006</v>
      </c>
      <c r="AQ583" s="1">
        <v>-100386.55</v>
      </c>
      <c r="AR583" s="1">
        <v>0</v>
      </c>
      <c r="AS583" s="1">
        <v>-100386.55</v>
      </c>
      <c r="AT583" s="1">
        <v>0</v>
      </c>
      <c r="BA583" s="195"/>
      <c r="BB583" s="195"/>
      <c r="BC583" s="195"/>
      <c r="BD583" s="195"/>
      <c r="BE583" s="195"/>
      <c r="BF583" s="195"/>
      <c r="BG583" s="195"/>
      <c r="BH583" s="195"/>
      <c r="BI583" s="195"/>
    </row>
    <row r="584" spans="1:61" x14ac:dyDescent="0.25">
      <c r="A584" t="s">
        <v>343</v>
      </c>
      <c r="B584" t="s">
        <v>344</v>
      </c>
      <c r="C584" t="s">
        <v>1019</v>
      </c>
      <c r="D584" t="s">
        <v>1020</v>
      </c>
      <c r="E584" t="s">
        <v>1021</v>
      </c>
      <c r="F584" t="s">
        <v>28</v>
      </c>
      <c r="AG584" t="s">
        <v>518</v>
      </c>
      <c r="AH584" t="s">
        <v>519</v>
      </c>
      <c r="AI584" t="s">
        <v>353</v>
      </c>
      <c r="AJ584" t="s">
        <v>1021</v>
      </c>
      <c r="AK584" s="1">
        <v>-21958.02</v>
      </c>
      <c r="AL584" s="1">
        <v>0</v>
      </c>
      <c r="AM584" s="1">
        <v>-21958.02</v>
      </c>
      <c r="AN584" s="1">
        <v>-10979.01</v>
      </c>
      <c r="AO584" s="1">
        <v>0</v>
      </c>
      <c r="AP584" s="1">
        <v>-10979.01</v>
      </c>
      <c r="AQ584" s="1">
        <v>-10717.21</v>
      </c>
      <c r="AR584" s="1">
        <v>0</v>
      </c>
      <c r="AS584" s="1">
        <v>-10717.21</v>
      </c>
      <c r="AT584" s="1">
        <v>0</v>
      </c>
      <c r="BA584" s="195"/>
      <c r="BB584" s="195"/>
      <c r="BC584" s="195"/>
      <c r="BD584" s="195"/>
      <c r="BE584" s="195"/>
      <c r="BF584" s="195"/>
      <c r="BG584" s="195"/>
      <c r="BH584" s="195"/>
      <c r="BI584" s="195"/>
    </row>
    <row r="585" spans="1:61" x14ac:dyDescent="0.25">
      <c r="A585" t="s">
        <v>343</v>
      </c>
      <c r="B585" t="s">
        <v>344</v>
      </c>
      <c r="C585" t="s">
        <v>1019</v>
      </c>
      <c r="D585" t="s">
        <v>1020</v>
      </c>
      <c r="E585" t="s">
        <v>1021</v>
      </c>
      <c r="F585" t="s">
        <v>28</v>
      </c>
      <c r="AG585" t="s">
        <v>520</v>
      </c>
      <c r="AH585" t="s">
        <v>521</v>
      </c>
      <c r="AI585" t="s">
        <v>353</v>
      </c>
      <c r="AJ585" t="s">
        <v>1021</v>
      </c>
      <c r="AK585" s="1">
        <v>-22960</v>
      </c>
      <c r="AL585" s="1">
        <v>0</v>
      </c>
      <c r="AM585" s="1">
        <v>-22960</v>
      </c>
      <c r="AN585" s="1">
        <v>-11480</v>
      </c>
      <c r="AO585" s="1">
        <v>0</v>
      </c>
      <c r="AP585" s="1">
        <v>-11480</v>
      </c>
      <c r="AQ585" s="1">
        <v>-375</v>
      </c>
      <c r="AR585" s="1">
        <v>0</v>
      </c>
      <c r="AS585" s="1">
        <v>-375</v>
      </c>
      <c r="AT585" s="1">
        <v>0</v>
      </c>
      <c r="BA585" s="195"/>
      <c r="BB585" s="195"/>
      <c r="BC585" s="195"/>
      <c r="BD585" s="195"/>
      <c r="BE585" s="195"/>
      <c r="BF585" s="195"/>
      <c r="BG585" s="195"/>
      <c r="BH585" s="195"/>
      <c r="BI585" s="195"/>
    </row>
    <row r="586" spans="1:61" x14ac:dyDescent="0.25">
      <c r="A586" t="s">
        <v>343</v>
      </c>
      <c r="B586" t="s">
        <v>344</v>
      </c>
      <c r="C586" t="s">
        <v>1019</v>
      </c>
      <c r="D586" t="s">
        <v>1020</v>
      </c>
      <c r="E586" t="s">
        <v>1021</v>
      </c>
      <c r="F586" t="s">
        <v>28</v>
      </c>
      <c r="AG586" t="s">
        <v>522</v>
      </c>
      <c r="AH586" t="s">
        <v>523</v>
      </c>
      <c r="AI586" t="s">
        <v>353</v>
      </c>
      <c r="AJ586" t="s">
        <v>1021</v>
      </c>
      <c r="AK586" s="1">
        <v>-43823.519999999997</v>
      </c>
      <c r="AL586" s="1">
        <v>0</v>
      </c>
      <c r="AM586" s="1">
        <v>-43823.519999999997</v>
      </c>
      <c r="AN586" s="1">
        <v>-21911.759999999998</v>
      </c>
      <c r="AO586" s="1">
        <v>0</v>
      </c>
      <c r="AP586" s="1">
        <v>-21911.759999999998</v>
      </c>
      <c r="AQ586" s="1">
        <v>-20483.95</v>
      </c>
      <c r="AR586" s="1">
        <v>0</v>
      </c>
      <c r="AS586" s="1">
        <v>-20483.95</v>
      </c>
      <c r="AT586" s="1">
        <v>0</v>
      </c>
      <c r="BA586" s="195"/>
      <c r="BB586" s="195"/>
      <c r="BC586" s="195"/>
      <c r="BD586" s="195"/>
      <c r="BE586" s="195"/>
      <c r="BF586" s="195"/>
      <c r="BG586" s="195"/>
      <c r="BH586" s="195"/>
      <c r="BI586" s="195"/>
    </row>
    <row r="587" spans="1:61" x14ac:dyDescent="0.25">
      <c r="A587" t="s">
        <v>343</v>
      </c>
      <c r="B587" t="s">
        <v>344</v>
      </c>
      <c r="C587" t="s">
        <v>1019</v>
      </c>
      <c r="D587" t="s">
        <v>1020</v>
      </c>
      <c r="E587" t="s">
        <v>1021</v>
      </c>
      <c r="F587" t="s">
        <v>28</v>
      </c>
      <c r="AG587" t="s">
        <v>524</v>
      </c>
      <c r="AH587" t="s">
        <v>525</v>
      </c>
      <c r="AI587" t="s">
        <v>353</v>
      </c>
      <c r="AJ587" t="s">
        <v>1021</v>
      </c>
      <c r="AK587" s="1">
        <v>-10430.18</v>
      </c>
      <c r="AL587" s="1">
        <v>0</v>
      </c>
      <c r="AM587" s="1">
        <v>-10430.18</v>
      </c>
      <c r="AN587" s="1">
        <v>-5215.09</v>
      </c>
      <c r="AO587" s="1">
        <v>0</v>
      </c>
      <c r="AP587" s="1">
        <v>-5215.09</v>
      </c>
      <c r="AQ587" s="1">
        <v>-4942.6099999999997</v>
      </c>
      <c r="AR587" s="1">
        <v>0</v>
      </c>
      <c r="AS587" s="1">
        <v>-4942.6099999999997</v>
      </c>
      <c r="AT587" s="1">
        <v>0</v>
      </c>
      <c r="BA587" s="195"/>
      <c r="BB587" s="195"/>
      <c r="BC587" s="195"/>
      <c r="BD587" s="195"/>
      <c r="BE587" s="195"/>
      <c r="BF587" s="195"/>
      <c r="BG587" s="195"/>
      <c r="BH587" s="195"/>
      <c r="BI587" s="195"/>
    </row>
    <row r="588" spans="1:61" x14ac:dyDescent="0.25">
      <c r="A588" t="s">
        <v>343</v>
      </c>
      <c r="B588" t="s">
        <v>344</v>
      </c>
      <c r="C588" t="s">
        <v>1019</v>
      </c>
      <c r="D588" t="s">
        <v>1020</v>
      </c>
      <c r="E588" t="s">
        <v>1021</v>
      </c>
      <c r="F588" t="s">
        <v>28</v>
      </c>
      <c r="AG588" t="s">
        <v>526</v>
      </c>
      <c r="AH588" t="s">
        <v>527</v>
      </c>
      <c r="AI588" t="s">
        <v>353</v>
      </c>
      <c r="AJ588" t="s">
        <v>1021</v>
      </c>
      <c r="AK588" s="1">
        <v>-53941.78</v>
      </c>
      <c r="AL588" s="1">
        <v>0</v>
      </c>
      <c r="AM588" s="1">
        <v>-53941.78</v>
      </c>
      <c r="AN588" s="1">
        <v>-26970.89</v>
      </c>
      <c r="AO588" s="1">
        <v>0</v>
      </c>
      <c r="AP588" s="1">
        <v>-26970.89</v>
      </c>
      <c r="AQ588" s="1">
        <v>-22319.54</v>
      </c>
      <c r="AR588" s="1">
        <v>0</v>
      </c>
      <c r="AS588" s="1">
        <v>-22319.54</v>
      </c>
      <c r="AT588" s="1">
        <v>0</v>
      </c>
      <c r="BA588" s="195"/>
      <c r="BB588" s="195"/>
      <c r="BC588" s="195"/>
      <c r="BD588" s="195"/>
      <c r="BE588" s="195"/>
      <c r="BF588" s="195"/>
      <c r="BG588" s="195"/>
      <c r="BH588" s="195"/>
      <c r="BI588" s="195"/>
    </row>
    <row r="589" spans="1:61" x14ac:dyDescent="0.25">
      <c r="A589" t="s">
        <v>343</v>
      </c>
      <c r="B589" t="s">
        <v>344</v>
      </c>
      <c r="C589" t="s">
        <v>1019</v>
      </c>
      <c r="D589" t="s">
        <v>1020</v>
      </c>
      <c r="E589" t="s">
        <v>1021</v>
      </c>
      <c r="F589" t="s">
        <v>28</v>
      </c>
      <c r="AG589" t="s">
        <v>528</v>
      </c>
      <c r="AH589" t="s">
        <v>529</v>
      </c>
      <c r="AI589" t="s">
        <v>353</v>
      </c>
      <c r="AJ589" t="s">
        <v>1021</v>
      </c>
      <c r="AK589" s="1">
        <v>-33797.360000000001</v>
      </c>
      <c r="AL589" s="1">
        <v>0</v>
      </c>
      <c r="AM589" s="1">
        <v>-33797.360000000001</v>
      </c>
      <c r="AN589" s="1">
        <v>-16898.68</v>
      </c>
      <c r="AO589" s="1">
        <v>0</v>
      </c>
      <c r="AP589" s="1">
        <v>-16898.68</v>
      </c>
      <c r="AQ589" s="1">
        <v>-15646.86</v>
      </c>
      <c r="AR589" s="1">
        <v>0</v>
      </c>
      <c r="AS589" s="1">
        <v>-15646.86</v>
      </c>
      <c r="AT589" s="1">
        <v>0</v>
      </c>
      <c r="BA589" s="195"/>
      <c r="BB589" s="195"/>
      <c r="BC589" s="195"/>
      <c r="BD589" s="195"/>
      <c r="BE589" s="195"/>
      <c r="BF589" s="195"/>
      <c r="BG589" s="195"/>
      <c r="BH589" s="195"/>
      <c r="BI589" s="195"/>
    </row>
    <row r="590" spans="1:61" x14ac:dyDescent="0.25">
      <c r="A590" t="s">
        <v>343</v>
      </c>
      <c r="B590" t="s">
        <v>344</v>
      </c>
      <c r="C590" t="s">
        <v>1019</v>
      </c>
      <c r="D590" t="s">
        <v>1020</v>
      </c>
      <c r="E590" t="s">
        <v>1021</v>
      </c>
      <c r="F590" t="s">
        <v>28</v>
      </c>
      <c r="AG590" t="s">
        <v>530</v>
      </c>
      <c r="AH590" t="s">
        <v>531</v>
      </c>
      <c r="AI590" t="s">
        <v>353</v>
      </c>
      <c r="AJ590" t="s">
        <v>1021</v>
      </c>
      <c r="AK590" s="1">
        <v>-26940.3</v>
      </c>
      <c r="AL590" s="1">
        <v>0</v>
      </c>
      <c r="AM590" s="1">
        <v>-26940.3</v>
      </c>
      <c r="AN590" s="1">
        <v>-13470.15</v>
      </c>
      <c r="AO590" s="1">
        <v>0</v>
      </c>
      <c r="AP590" s="1">
        <v>-13470.15</v>
      </c>
      <c r="AQ590" s="1">
        <v>-16668.03</v>
      </c>
      <c r="AR590" s="1">
        <v>0</v>
      </c>
      <c r="AS590" s="1">
        <v>-16668.03</v>
      </c>
      <c r="AT590" s="1">
        <v>0</v>
      </c>
      <c r="BA590" s="195"/>
      <c r="BB590" s="195"/>
      <c r="BC590" s="195"/>
      <c r="BD590" s="195"/>
      <c r="BE590" s="195"/>
      <c r="BF590" s="195"/>
      <c r="BG590" s="195"/>
      <c r="BH590" s="195"/>
      <c r="BI590" s="195"/>
    </row>
    <row r="591" spans="1:61" x14ac:dyDescent="0.25">
      <c r="A591" t="s">
        <v>343</v>
      </c>
      <c r="B591" t="s">
        <v>344</v>
      </c>
      <c r="C591" t="s">
        <v>1019</v>
      </c>
      <c r="D591" t="s">
        <v>1020</v>
      </c>
      <c r="E591" t="s">
        <v>1021</v>
      </c>
      <c r="F591" t="s">
        <v>28</v>
      </c>
      <c r="AG591" t="s">
        <v>532</v>
      </c>
      <c r="AH591" t="s">
        <v>533</v>
      </c>
      <c r="AI591" t="s">
        <v>353</v>
      </c>
      <c r="AJ591" t="s">
        <v>1021</v>
      </c>
      <c r="AK591" s="1">
        <v>-180000</v>
      </c>
      <c r="AL591" s="1">
        <v>0</v>
      </c>
      <c r="AM591" s="1">
        <v>-180000</v>
      </c>
      <c r="AN591" s="1">
        <v>-112522.75</v>
      </c>
      <c r="AO591" s="1">
        <v>0</v>
      </c>
      <c r="AP591" s="1">
        <v>-112522.75</v>
      </c>
      <c r="AQ591" s="1">
        <v>-187623.55</v>
      </c>
      <c r="AR591" s="1">
        <v>0</v>
      </c>
      <c r="AS591" s="1">
        <v>-187623.55</v>
      </c>
      <c r="AT591" s="1">
        <v>0</v>
      </c>
      <c r="BA591" s="195"/>
      <c r="BB591" s="195"/>
      <c r="BC591" s="195"/>
      <c r="BD591" s="195"/>
      <c r="BE591" s="195"/>
      <c r="BF591" s="195"/>
      <c r="BG591" s="195"/>
      <c r="BH591" s="195"/>
      <c r="BI591" s="195"/>
    </row>
    <row r="592" spans="1:61" x14ac:dyDescent="0.25">
      <c r="A592" t="s">
        <v>343</v>
      </c>
      <c r="B592" t="s">
        <v>344</v>
      </c>
      <c r="C592" t="s">
        <v>1019</v>
      </c>
      <c r="D592" t="s">
        <v>1020</v>
      </c>
      <c r="E592" t="s">
        <v>1021</v>
      </c>
      <c r="F592" t="s">
        <v>28</v>
      </c>
      <c r="AG592" t="s">
        <v>534</v>
      </c>
      <c r="AH592" t="s">
        <v>535</v>
      </c>
      <c r="AI592" t="s">
        <v>353</v>
      </c>
      <c r="AJ592" t="s">
        <v>1021</v>
      </c>
      <c r="AK592" s="1">
        <v>-520</v>
      </c>
      <c r="AL592" s="1">
        <v>0</v>
      </c>
      <c r="AM592" s="1">
        <v>-520</v>
      </c>
      <c r="AN592" s="1">
        <v>-260</v>
      </c>
      <c r="AO592" s="1">
        <v>0</v>
      </c>
      <c r="AP592" s="1">
        <v>-260</v>
      </c>
      <c r="AQ592" s="1">
        <v>0</v>
      </c>
      <c r="AR592" s="1">
        <v>0</v>
      </c>
      <c r="AS592" s="1">
        <v>0</v>
      </c>
      <c r="AT592" s="1">
        <v>0</v>
      </c>
      <c r="BA592" s="195"/>
      <c r="BB592" s="195"/>
      <c r="BC592" s="195"/>
      <c r="BD592" s="195"/>
      <c r="BE592" s="195"/>
      <c r="BF592" s="195"/>
      <c r="BG592" s="195"/>
      <c r="BH592" s="195"/>
      <c r="BI592" s="195"/>
    </row>
    <row r="593" spans="1:61" x14ac:dyDescent="0.25">
      <c r="A593" t="s">
        <v>343</v>
      </c>
      <c r="B593" t="s">
        <v>344</v>
      </c>
      <c r="C593" t="s">
        <v>1019</v>
      </c>
      <c r="D593" t="s">
        <v>1020</v>
      </c>
      <c r="E593" t="s">
        <v>1021</v>
      </c>
      <c r="F593" t="s">
        <v>28</v>
      </c>
      <c r="AG593" t="s">
        <v>536</v>
      </c>
      <c r="AH593" t="s">
        <v>537</v>
      </c>
      <c r="AI593" t="s">
        <v>353</v>
      </c>
      <c r="AJ593" t="s">
        <v>1021</v>
      </c>
      <c r="AK593" s="1">
        <v>-189903.78</v>
      </c>
      <c r="AL593" s="1">
        <v>0</v>
      </c>
      <c r="AM593" s="1">
        <v>-189903.78</v>
      </c>
      <c r="AN593" s="1">
        <v>-94951.89</v>
      </c>
      <c r="AO593" s="1">
        <v>0</v>
      </c>
      <c r="AP593" s="1">
        <v>-94951.89</v>
      </c>
      <c r="AQ593" s="1">
        <v>-136165.82</v>
      </c>
      <c r="AR593" s="1">
        <v>0</v>
      </c>
      <c r="AS593" s="1">
        <v>-136165.82</v>
      </c>
      <c r="AT593" s="1">
        <v>0</v>
      </c>
      <c r="BA593" s="195"/>
      <c r="BB593" s="195"/>
      <c r="BC593" s="195"/>
      <c r="BD593" s="195"/>
      <c r="BE593" s="195"/>
      <c r="BF593" s="195"/>
      <c r="BG593" s="195"/>
      <c r="BH593" s="195"/>
      <c r="BI593" s="195"/>
    </row>
    <row r="594" spans="1:61" x14ac:dyDescent="0.25">
      <c r="A594" t="s">
        <v>343</v>
      </c>
      <c r="B594" t="s">
        <v>344</v>
      </c>
      <c r="C594" t="s">
        <v>1019</v>
      </c>
      <c r="D594" t="s">
        <v>1020</v>
      </c>
      <c r="E594" t="s">
        <v>1021</v>
      </c>
      <c r="F594" t="s">
        <v>28</v>
      </c>
      <c r="AG594" t="s">
        <v>538</v>
      </c>
      <c r="AH594" t="s">
        <v>539</v>
      </c>
      <c r="AI594" t="s">
        <v>353</v>
      </c>
      <c r="AJ594" t="s">
        <v>1021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-2354.5</v>
      </c>
      <c r="AR594" s="1">
        <v>0</v>
      </c>
      <c r="AS594" s="1">
        <v>-2354.5</v>
      </c>
      <c r="AT594" s="1">
        <v>0</v>
      </c>
      <c r="BA594" s="195"/>
      <c r="BB594" s="195"/>
      <c r="BC594" s="195"/>
      <c r="BD594" s="195"/>
      <c r="BE594" s="195"/>
      <c r="BF594" s="195"/>
      <c r="BG594" s="195"/>
      <c r="BH594" s="195"/>
      <c r="BI594" s="195"/>
    </row>
    <row r="595" spans="1:61" x14ac:dyDescent="0.25">
      <c r="A595" t="s">
        <v>343</v>
      </c>
      <c r="B595" t="s">
        <v>344</v>
      </c>
      <c r="C595" t="s">
        <v>1019</v>
      </c>
      <c r="D595" t="s">
        <v>1020</v>
      </c>
      <c r="E595" t="s">
        <v>1021</v>
      </c>
      <c r="F595" t="s">
        <v>28</v>
      </c>
      <c r="AG595" t="s">
        <v>540</v>
      </c>
      <c r="AH595" t="s">
        <v>541</v>
      </c>
      <c r="AI595" t="s">
        <v>353</v>
      </c>
      <c r="AJ595" t="s">
        <v>1021</v>
      </c>
      <c r="AK595" s="1">
        <v>-1420.28</v>
      </c>
      <c r="AL595" s="1">
        <v>0</v>
      </c>
      <c r="AM595" s="1">
        <v>-1420.28</v>
      </c>
      <c r="AN595" s="1">
        <v>-710.14</v>
      </c>
      <c r="AO595" s="1">
        <v>0</v>
      </c>
      <c r="AP595" s="1">
        <v>-710.14</v>
      </c>
      <c r="AQ595" s="1">
        <v>0</v>
      </c>
      <c r="AR595" s="1">
        <v>0</v>
      </c>
      <c r="AS595" s="1">
        <v>0</v>
      </c>
      <c r="AT595" s="1">
        <v>0</v>
      </c>
      <c r="BA595" s="195"/>
      <c r="BB595" s="195"/>
      <c r="BC595" s="195"/>
      <c r="BD595" s="195"/>
      <c r="BE595" s="195"/>
      <c r="BF595" s="195"/>
      <c r="BG595" s="195"/>
      <c r="BH595" s="195"/>
      <c r="BI595" s="195"/>
    </row>
    <row r="596" spans="1:61" x14ac:dyDescent="0.25">
      <c r="A596" t="s">
        <v>343</v>
      </c>
      <c r="B596" t="s">
        <v>344</v>
      </c>
      <c r="C596" t="s">
        <v>1019</v>
      </c>
      <c r="D596" t="s">
        <v>1020</v>
      </c>
      <c r="E596" t="s">
        <v>1021</v>
      </c>
      <c r="F596" t="s">
        <v>28</v>
      </c>
      <c r="AG596" t="s">
        <v>542</v>
      </c>
      <c r="AH596" t="s">
        <v>541</v>
      </c>
      <c r="AI596" t="s">
        <v>353</v>
      </c>
      <c r="AJ596" t="s">
        <v>1021</v>
      </c>
      <c r="AK596" s="1">
        <v>-1223.3399999999999</v>
      </c>
      <c r="AL596" s="1">
        <v>0</v>
      </c>
      <c r="AM596" s="1">
        <v>-1223.3399999999999</v>
      </c>
      <c r="AN596" s="1">
        <v>-611.66999999999996</v>
      </c>
      <c r="AO596" s="1">
        <v>0</v>
      </c>
      <c r="AP596" s="1">
        <v>-611.66999999999996</v>
      </c>
      <c r="AQ596" s="1">
        <v>-1626.76</v>
      </c>
      <c r="AR596" s="1">
        <v>0</v>
      </c>
      <c r="AS596" s="1">
        <v>-1626.76</v>
      </c>
      <c r="AT596" s="1">
        <v>0</v>
      </c>
      <c r="BA596" s="195"/>
      <c r="BB596" s="195"/>
      <c r="BC596" s="195"/>
      <c r="BD596" s="195"/>
      <c r="BE596" s="195"/>
      <c r="BF596" s="195"/>
      <c r="BG596" s="195"/>
      <c r="BH596" s="195"/>
      <c r="BI596" s="195"/>
    </row>
    <row r="597" spans="1:61" x14ac:dyDescent="0.25">
      <c r="A597" t="s">
        <v>343</v>
      </c>
      <c r="B597" t="s">
        <v>344</v>
      </c>
      <c r="C597" t="s">
        <v>1019</v>
      </c>
      <c r="D597" t="s">
        <v>1020</v>
      </c>
      <c r="E597" t="s">
        <v>1021</v>
      </c>
      <c r="F597" t="s">
        <v>28</v>
      </c>
      <c r="AG597" t="s">
        <v>543</v>
      </c>
      <c r="AH597" t="s">
        <v>544</v>
      </c>
      <c r="AI597" t="s">
        <v>353</v>
      </c>
      <c r="AJ597" t="s">
        <v>1021</v>
      </c>
      <c r="AK597" s="1">
        <v>-2654.3</v>
      </c>
      <c r="AL597" s="1">
        <v>0</v>
      </c>
      <c r="AM597" s="1">
        <v>-2654.3</v>
      </c>
      <c r="AN597" s="1">
        <v>-1327.15</v>
      </c>
      <c r="AO597" s="1">
        <v>0</v>
      </c>
      <c r="AP597" s="1">
        <v>-1327.15</v>
      </c>
      <c r="AQ597" s="1">
        <v>-1393.22</v>
      </c>
      <c r="AR597" s="1">
        <v>0</v>
      </c>
      <c r="AS597" s="1">
        <v>-1393.22</v>
      </c>
      <c r="AT597" s="1">
        <v>0</v>
      </c>
      <c r="BA597" s="195"/>
      <c r="BB597" s="195"/>
      <c r="BC597" s="195"/>
      <c r="BD597" s="195"/>
      <c r="BE597" s="195"/>
      <c r="BF597" s="195"/>
      <c r="BG597" s="195"/>
      <c r="BH597" s="195"/>
      <c r="BI597" s="195"/>
    </row>
    <row r="598" spans="1:61" x14ac:dyDescent="0.25">
      <c r="A598" t="s">
        <v>343</v>
      </c>
      <c r="B598" t="s">
        <v>344</v>
      </c>
      <c r="C598" t="s">
        <v>1019</v>
      </c>
      <c r="D598" t="s">
        <v>1020</v>
      </c>
      <c r="E598" t="s">
        <v>1021</v>
      </c>
      <c r="F598" t="s">
        <v>28</v>
      </c>
      <c r="AG598" t="s">
        <v>545</v>
      </c>
      <c r="AH598" t="s">
        <v>546</v>
      </c>
      <c r="AI598" t="s">
        <v>353</v>
      </c>
      <c r="AJ598" t="s">
        <v>1021</v>
      </c>
      <c r="AK598" s="1">
        <v>-62970.26</v>
      </c>
      <c r="AL598" s="1">
        <v>0</v>
      </c>
      <c r="AM598" s="1">
        <v>-62970.26</v>
      </c>
      <c r="AN598" s="1">
        <v>-31485.13</v>
      </c>
      <c r="AO598" s="1">
        <v>0</v>
      </c>
      <c r="AP598" s="1">
        <v>-31485.13</v>
      </c>
      <c r="AQ598" s="1">
        <v>-50953.3</v>
      </c>
      <c r="AR598" s="1">
        <v>0</v>
      </c>
      <c r="AS598" s="1">
        <v>-50953.3</v>
      </c>
      <c r="AT598" s="1">
        <v>0</v>
      </c>
      <c r="BA598" s="195"/>
      <c r="BB598" s="195"/>
      <c r="BC598" s="195"/>
      <c r="BD598" s="195"/>
      <c r="BE598" s="195"/>
      <c r="BF598" s="195"/>
      <c r="BG598" s="195"/>
      <c r="BH598" s="195"/>
      <c r="BI598" s="195"/>
    </row>
    <row r="599" spans="1:61" x14ac:dyDescent="0.25">
      <c r="A599" t="s">
        <v>343</v>
      </c>
      <c r="B599" t="s">
        <v>344</v>
      </c>
      <c r="C599" t="s">
        <v>1019</v>
      </c>
      <c r="D599" t="s">
        <v>1020</v>
      </c>
      <c r="E599" t="s">
        <v>1021</v>
      </c>
      <c r="F599" t="s">
        <v>28</v>
      </c>
      <c r="AG599" t="s">
        <v>547</v>
      </c>
      <c r="AH599" t="s">
        <v>548</v>
      </c>
      <c r="AI599" t="s">
        <v>353</v>
      </c>
      <c r="AJ599" t="s">
        <v>1021</v>
      </c>
      <c r="AK599" s="1">
        <v>-599421.88</v>
      </c>
      <c r="AL599" s="1">
        <v>0</v>
      </c>
      <c r="AM599" s="1">
        <v>-599421.88</v>
      </c>
      <c r="AN599" s="1">
        <v>-299710.94</v>
      </c>
      <c r="AO599" s="1">
        <v>0</v>
      </c>
      <c r="AP599" s="1">
        <v>-299710.94</v>
      </c>
      <c r="AQ599" s="1">
        <v>-296476</v>
      </c>
      <c r="AR599" s="1">
        <v>0</v>
      </c>
      <c r="AS599" s="1">
        <v>-296476</v>
      </c>
      <c r="AT599" s="1">
        <v>0</v>
      </c>
      <c r="BA599" s="195"/>
      <c r="BB599" s="195"/>
      <c r="BC599" s="195"/>
      <c r="BD599" s="195"/>
      <c r="BE599" s="195"/>
      <c r="BF599" s="195"/>
      <c r="BG599" s="195"/>
      <c r="BH599" s="195"/>
      <c r="BI599" s="195"/>
    </row>
    <row r="600" spans="1:61" x14ac:dyDescent="0.25">
      <c r="A600" t="s">
        <v>343</v>
      </c>
      <c r="B600" t="s">
        <v>344</v>
      </c>
      <c r="C600" t="s">
        <v>1019</v>
      </c>
      <c r="D600" t="s">
        <v>1020</v>
      </c>
      <c r="E600" t="s">
        <v>1021</v>
      </c>
      <c r="F600" t="s">
        <v>28</v>
      </c>
      <c r="AG600" t="s">
        <v>549</v>
      </c>
      <c r="AH600" t="s">
        <v>550</v>
      </c>
      <c r="AI600" t="s">
        <v>353</v>
      </c>
      <c r="AJ600" t="s">
        <v>1021</v>
      </c>
      <c r="AK600" s="1">
        <v>-122219.9</v>
      </c>
      <c r="AL600" s="1">
        <v>0</v>
      </c>
      <c r="AM600" s="1">
        <v>-122219.9</v>
      </c>
      <c r="AN600" s="1">
        <v>-61109.95</v>
      </c>
      <c r="AO600" s="1">
        <v>0</v>
      </c>
      <c r="AP600" s="1">
        <v>-61109.95</v>
      </c>
      <c r="AQ600" s="1">
        <v>-49626.14</v>
      </c>
      <c r="AR600" s="1">
        <v>0</v>
      </c>
      <c r="AS600" s="1">
        <v>-49626.14</v>
      </c>
      <c r="AT600" s="1">
        <v>0</v>
      </c>
      <c r="BA600" s="195"/>
      <c r="BB600" s="195"/>
      <c r="BC600" s="195"/>
      <c r="BD600" s="195"/>
      <c r="BE600" s="195"/>
      <c r="BF600" s="195"/>
      <c r="BG600" s="195"/>
      <c r="BH600" s="195"/>
      <c r="BI600" s="195"/>
    </row>
    <row r="601" spans="1:61" x14ac:dyDescent="0.25">
      <c r="A601" t="s">
        <v>343</v>
      </c>
      <c r="B601" t="s">
        <v>344</v>
      </c>
      <c r="C601" t="s">
        <v>1019</v>
      </c>
      <c r="D601" t="s">
        <v>1020</v>
      </c>
      <c r="E601" t="s">
        <v>1021</v>
      </c>
      <c r="F601" t="s">
        <v>28</v>
      </c>
      <c r="AG601" t="s">
        <v>551</v>
      </c>
      <c r="AH601" t="s">
        <v>552</v>
      </c>
      <c r="AI601" t="s">
        <v>353</v>
      </c>
      <c r="AJ601" t="s">
        <v>1021</v>
      </c>
      <c r="AK601" s="1">
        <v>-57722.22</v>
      </c>
      <c r="AL601" s="1">
        <v>0</v>
      </c>
      <c r="AM601" s="1">
        <v>-57722.22</v>
      </c>
      <c r="AN601" s="1">
        <v>-28861.11</v>
      </c>
      <c r="AO601" s="1">
        <v>0</v>
      </c>
      <c r="AP601" s="1">
        <v>-28861.11</v>
      </c>
      <c r="AQ601" s="1">
        <v>-25932.23</v>
      </c>
      <c r="AR601" s="1">
        <v>0</v>
      </c>
      <c r="AS601" s="1">
        <v>-25932.23</v>
      </c>
      <c r="AT601" s="1">
        <v>0</v>
      </c>
      <c r="BA601" s="195"/>
      <c r="BB601" s="195"/>
      <c r="BC601" s="195"/>
      <c r="BD601" s="195"/>
      <c r="BE601" s="195"/>
      <c r="BF601" s="195"/>
      <c r="BG601" s="195"/>
      <c r="BH601" s="195"/>
      <c r="BI601" s="195"/>
    </row>
    <row r="602" spans="1:61" x14ac:dyDescent="0.25">
      <c r="A602" t="s">
        <v>343</v>
      </c>
      <c r="B602" t="s">
        <v>344</v>
      </c>
      <c r="C602" t="s">
        <v>1019</v>
      </c>
      <c r="D602" t="s">
        <v>1020</v>
      </c>
      <c r="E602" t="s">
        <v>1021</v>
      </c>
      <c r="F602" t="s">
        <v>28</v>
      </c>
      <c r="AG602" t="s">
        <v>553</v>
      </c>
      <c r="AH602" t="s">
        <v>554</v>
      </c>
      <c r="AI602" t="s">
        <v>353</v>
      </c>
      <c r="AJ602" t="s">
        <v>1021</v>
      </c>
      <c r="AK602" s="1">
        <v>-58055.66</v>
      </c>
      <c r="AL602" s="1">
        <v>0</v>
      </c>
      <c r="AM602" s="1">
        <v>-58055.66</v>
      </c>
      <c r="AN602" s="1">
        <v>-29027.83</v>
      </c>
      <c r="AO602" s="1">
        <v>0</v>
      </c>
      <c r="AP602" s="1">
        <v>-29027.83</v>
      </c>
      <c r="AQ602" s="1">
        <v>-32646.49</v>
      </c>
      <c r="AR602" s="1">
        <v>0</v>
      </c>
      <c r="AS602" s="1">
        <v>-32646.49</v>
      </c>
      <c r="AT602" s="1">
        <v>0</v>
      </c>
      <c r="BA602" s="195"/>
      <c r="BB602" s="195"/>
      <c r="BC602" s="195"/>
      <c r="BD602" s="195"/>
      <c r="BE602" s="195"/>
      <c r="BF602" s="195"/>
      <c r="BG602" s="195"/>
      <c r="BH602" s="195"/>
      <c r="BI602" s="195"/>
    </row>
    <row r="603" spans="1:61" x14ac:dyDescent="0.25">
      <c r="A603" t="s">
        <v>343</v>
      </c>
      <c r="B603" t="s">
        <v>344</v>
      </c>
      <c r="C603" t="s">
        <v>1019</v>
      </c>
      <c r="D603" t="s">
        <v>1020</v>
      </c>
      <c r="E603" t="s">
        <v>1021</v>
      </c>
      <c r="F603" t="s">
        <v>28</v>
      </c>
      <c r="AG603" t="s">
        <v>555</v>
      </c>
      <c r="AH603" t="s">
        <v>556</v>
      </c>
      <c r="AI603" t="s">
        <v>353</v>
      </c>
      <c r="AJ603" t="s">
        <v>1021</v>
      </c>
      <c r="AK603" s="1">
        <v>-8093.72</v>
      </c>
      <c r="AL603" s="1">
        <v>0</v>
      </c>
      <c r="AM603" s="1">
        <v>-8093.72</v>
      </c>
      <c r="AN603" s="1">
        <v>-4046.86</v>
      </c>
      <c r="AO603" s="1">
        <v>0</v>
      </c>
      <c r="AP603" s="1">
        <v>-4046.86</v>
      </c>
      <c r="AQ603" s="1">
        <v>-5082.3599999999997</v>
      </c>
      <c r="AR603" s="1">
        <v>0</v>
      </c>
      <c r="AS603" s="1">
        <v>-5082.3599999999997</v>
      </c>
      <c r="AT603" s="1">
        <v>0</v>
      </c>
      <c r="BA603" s="195"/>
      <c r="BB603" s="195"/>
      <c r="BC603" s="195"/>
      <c r="BD603" s="195"/>
      <c r="BE603" s="195"/>
      <c r="BF603" s="195"/>
      <c r="BG603" s="195"/>
      <c r="BH603" s="195"/>
      <c r="BI603" s="195"/>
    </row>
    <row r="604" spans="1:61" x14ac:dyDescent="0.25">
      <c r="A604" t="s">
        <v>343</v>
      </c>
      <c r="B604" t="s">
        <v>344</v>
      </c>
      <c r="C604" t="s">
        <v>1019</v>
      </c>
      <c r="D604" t="s">
        <v>1020</v>
      </c>
      <c r="E604" t="s">
        <v>1021</v>
      </c>
      <c r="F604" t="s">
        <v>28</v>
      </c>
      <c r="AG604" t="s">
        <v>557</v>
      </c>
      <c r="AH604" t="s">
        <v>558</v>
      </c>
      <c r="AI604" t="s">
        <v>353</v>
      </c>
      <c r="AJ604" t="s">
        <v>1021</v>
      </c>
      <c r="AK604" s="1">
        <v>-10180</v>
      </c>
      <c r="AL604" s="1">
        <v>0</v>
      </c>
      <c r="AM604" s="1">
        <v>-10180</v>
      </c>
      <c r="AN604" s="1">
        <v>-5090</v>
      </c>
      <c r="AO604" s="1">
        <v>0</v>
      </c>
      <c r="AP604" s="1">
        <v>-5090</v>
      </c>
      <c r="AQ604" s="1">
        <v>-908.88</v>
      </c>
      <c r="AR604" s="1">
        <v>0</v>
      </c>
      <c r="AS604" s="1">
        <v>-908.88</v>
      </c>
      <c r="AT604" s="1">
        <v>0</v>
      </c>
      <c r="BA604" s="195"/>
      <c r="BB604" s="195"/>
      <c r="BC604" s="195"/>
      <c r="BD604" s="195"/>
      <c r="BE604" s="195"/>
      <c r="BF604" s="195"/>
      <c r="BG604" s="195"/>
      <c r="BH604" s="195"/>
      <c r="BI604" s="195"/>
    </row>
    <row r="605" spans="1:61" x14ac:dyDescent="0.25">
      <c r="A605" t="s">
        <v>343</v>
      </c>
      <c r="B605" t="s">
        <v>344</v>
      </c>
      <c r="C605" t="s">
        <v>1019</v>
      </c>
      <c r="D605" t="s">
        <v>1020</v>
      </c>
      <c r="E605" t="s">
        <v>1021</v>
      </c>
      <c r="F605" t="s">
        <v>28</v>
      </c>
      <c r="AG605" t="s">
        <v>559</v>
      </c>
      <c r="AH605" t="s">
        <v>560</v>
      </c>
      <c r="AI605" t="s">
        <v>353</v>
      </c>
      <c r="AJ605" t="s">
        <v>1021</v>
      </c>
      <c r="AK605" s="1">
        <v>-37660.92</v>
      </c>
      <c r="AL605" s="1">
        <v>0</v>
      </c>
      <c r="AM605" s="1">
        <v>-37660.92</v>
      </c>
      <c r="AN605" s="1">
        <v>-18830.46</v>
      </c>
      <c r="AO605" s="1">
        <v>0</v>
      </c>
      <c r="AP605" s="1">
        <v>-18830.46</v>
      </c>
      <c r="AQ605" s="1">
        <v>-31471.87</v>
      </c>
      <c r="AR605" s="1">
        <v>0</v>
      </c>
      <c r="AS605" s="1">
        <v>-31471.87</v>
      </c>
      <c r="AT605" s="1">
        <v>0</v>
      </c>
      <c r="BA605" s="195"/>
      <c r="BB605" s="195"/>
      <c r="BC605" s="195"/>
      <c r="BD605" s="195"/>
      <c r="BE605" s="195"/>
      <c r="BF605" s="195"/>
      <c r="BG605" s="195"/>
      <c r="BH605" s="195"/>
      <c r="BI605" s="195"/>
    </row>
    <row r="606" spans="1:61" x14ac:dyDescent="0.25">
      <c r="A606" t="s">
        <v>343</v>
      </c>
      <c r="B606" t="s">
        <v>344</v>
      </c>
      <c r="C606" t="s">
        <v>1019</v>
      </c>
      <c r="D606" t="s">
        <v>1020</v>
      </c>
      <c r="E606" t="s">
        <v>1021</v>
      </c>
      <c r="F606" t="s">
        <v>28</v>
      </c>
      <c r="AG606" t="s">
        <v>561</v>
      </c>
      <c r="AH606" t="s">
        <v>562</v>
      </c>
      <c r="AI606" t="s">
        <v>353</v>
      </c>
      <c r="AJ606" t="s">
        <v>1021</v>
      </c>
      <c r="AK606" s="1">
        <v>-7461.56</v>
      </c>
      <c r="AL606" s="1">
        <v>0</v>
      </c>
      <c r="AM606" s="1">
        <v>-7461.56</v>
      </c>
      <c r="AN606" s="1">
        <v>-3730.78</v>
      </c>
      <c r="AO606" s="1">
        <v>0</v>
      </c>
      <c r="AP606" s="1">
        <v>-3730.78</v>
      </c>
      <c r="AQ606" s="1">
        <v>-6371.64</v>
      </c>
      <c r="AR606" s="1">
        <v>0</v>
      </c>
      <c r="AS606" s="1">
        <v>-6371.64</v>
      </c>
      <c r="AT606" s="1">
        <v>0</v>
      </c>
      <c r="BA606" s="195"/>
      <c r="BB606" s="195"/>
      <c r="BC606" s="195"/>
      <c r="BD606" s="195"/>
      <c r="BE606" s="195"/>
      <c r="BF606" s="195"/>
      <c r="BG606" s="195"/>
      <c r="BH606" s="195"/>
      <c r="BI606" s="195"/>
    </row>
    <row r="607" spans="1:61" x14ac:dyDescent="0.25">
      <c r="A607" t="s">
        <v>343</v>
      </c>
      <c r="B607" t="s">
        <v>344</v>
      </c>
      <c r="C607" t="s">
        <v>1019</v>
      </c>
      <c r="D607" t="s">
        <v>1020</v>
      </c>
      <c r="E607" t="s">
        <v>1021</v>
      </c>
      <c r="F607" t="s">
        <v>28</v>
      </c>
      <c r="AG607" t="s">
        <v>563</v>
      </c>
      <c r="AH607" t="s">
        <v>564</v>
      </c>
      <c r="AI607" t="s">
        <v>353</v>
      </c>
      <c r="AJ607" t="s">
        <v>1021</v>
      </c>
      <c r="AK607" s="1">
        <v>-100292.1</v>
      </c>
      <c r="AL607" s="1">
        <v>0</v>
      </c>
      <c r="AM607" s="1">
        <v>-100292.1</v>
      </c>
      <c r="AN607" s="1">
        <v>-50146.05</v>
      </c>
      <c r="AO607" s="1">
        <v>0</v>
      </c>
      <c r="AP607" s="1">
        <v>-50146.05</v>
      </c>
      <c r="AQ607" s="1">
        <v>-44704.03</v>
      </c>
      <c r="AR607" s="1">
        <v>0</v>
      </c>
      <c r="AS607" s="1">
        <v>-44704.03</v>
      </c>
      <c r="AT607" s="1">
        <v>0</v>
      </c>
      <c r="BA607" s="195"/>
      <c r="BB607" s="195"/>
      <c r="BC607" s="195"/>
      <c r="BD607" s="195"/>
      <c r="BE607" s="195"/>
      <c r="BF607" s="195"/>
      <c r="BG607" s="195"/>
      <c r="BH607" s="195"/>
      <c r="BI607" s="195"/>
    </row>
    <row r="608" spans="1:61" x14ac:dyDescent="0.25">
      <c r="A608" t="s">
        <v>343</v>
      </c>
      <c r="B608" t="s">
        <v>344</v>
      </c>
      <c r="C608" t="s">
        <v>1019</v>
      </c>
      <c r="D608" t="s">
        <v>1020</v>
      </c>
      <c r="E608" t="s">
        <v>1021</v>
      </c>
      <c r="F608" t="s">
        <v>28</v>
      </c>
      <c r="AG608" t="s">
        <v>565</v>
      </c>
      <c r="AH608" t="s">
        <v>566</v>
      </c>
      <c r="AI608" t="s">
        <v>353</v>
      </c>
      <c r="AJ608" t="s">
        <v>1021</v>
      </c>
      <c r="AK608" s="1">
        <v>-19565.8</v>
      </c>
      <c r="AL608" s="1">
        <v>0</v>
      </c>
      <c r="AM608" s="1">
        <v>-19565.8</v>
      </c>
      <c r="AN608" s="1">
        <v>-9782.9</v>
      </c>
      <c r="AO608" s="1">
        <v>0</v>
      </c>
      <c r="AP608" s="1">
        <v>-9782.9</v>
      </c>
      <c r="AQ608" s="1">
        <v>-14953.87</v>
      </c>
      <c r="AR608" s="1">
        <v>0</v>
      </c>
      <c r="AS608" s="1">
        <v>-14953.87</v>
      </c>
      <c r="AT608" s="1">
        <v>0</v>
      </c>
      <c r="BA608" s="195"/>
      <c r="BB608" s="195"/>
      <c r="BC608" s="195"/>
      <c r="BD608" s="195"/>
      <c r="BE608" s="195"/>
      <c r="BF608" s="195"/>
      <c r="BG608" s="195"/>
      <c r="BH608" s="195"/>
      <c r="BI608" s="195"/>
    </row>
    <row r="609" spans="1:61" x14ac:dyDescent="0.25">
      <c r="A609" t="s">
        <v>343</v>
      </c>
      <c r="B609" t="s">
        <v>344</v>
      </c>
      <c r="C609" t="s">
        <v>1019</v>
      </c>
      <c r="D609" t="s">
        <v>1020</v>
      </c>
      <c r="E609" t="s">
        <v>1021</v>
      </c>
      <c r="F609" t="s">
        <v>28</v>
      </c>
      <c r="AG609" t="s">
        <v>567</v>
      </c>
      <c r="AH609" t="s">
        <v>568</v>
      </c>
      <c r="AI609" t="s">
        <v>353</v>
      </c>
      <c r="AJ609" t="s">
        <v>1021</v>
      </c>
      <c r="AK609" s="1">
        <v>-13400</v>
      </c>
      <c r="AL609" s="1">
        <v>0</v>
      </c>
      <c r="AM609" s="1">
        <v>-13400</v>
      </c>
      <c r="AN609" s="1">
        <v>-6700</v>
      </c>
      <c r="AO609" s="1">
        <v>0</v>
      </c>
      <c r="AP609" s="1">
        <v>-6700</v>
      </c>
      <c r="AQ609" s="1">
        <v>-4904</v>
      </c>
      <c r="AR609" s="1">
        <v>0</v>
      </c>
      <c r="AS609" s="1">
        <v>-4904</v>
      </c>
      <c r="AT609" s="1">
        <v>0</v>
      </c>
      <c r="BA609" s="195"/>
      <c r="BB609" s="195"/>
      <c r="BC609" s="195"/>
      <c r="BD609" s="195"/>
      <c r="BE609" s="195"/>
      <c r="BF609" s="195"/>
      <c r="BG609" s="195"/>
      <c r="BH609" s="195"/>
      <c r="BI609" s="195"/>
    </row>
    <row r="610" spans="1:61" x14ac:dyDescent="0.25">
      <c r="A610" t="s">
        <v>343</v>
      </c>
      <c r="B610" t="s">
        <v>344</v>
      </c>
      <c r="C610" t="s">
        <v>1019</v>
      </c>
      <c r="D610" t="s">
        <v>1020</v>
      </c>
      <c r="E610" t="s">
        <v>1021</v>
      </c>
      <c r="F610" t="s">
        <v>28</v>
      </c>
      <c r="AG610" t="s">
        <v>569</v>
      </c>
      <c r="AH610" t="s">
        <v>570</v>
      </c>
      <c r="AI610" t="s">
        <v>353</v>
      </c>
      <c r="AJ610" t="s">
        <v>1021</v>
      </c>
      <c r="AK610" s="1">
        <v>-24165.5</v>
      </c>
      <c r="AL610" s="1">
        <v>0</v>
      </c>
      <c r="AM610" s="1">
        <v>-24165.5</v>
      </c>
      <c r="AN610" s="1">
        <v>-12082.75</v>
      </c>
      <c r="AO610" s="1">
        <v>0</v>
      </c>
      <c r="AP610" s="1">
        <v>-12082.75</v>
      </c>
      <c r="AQ610" s="1">
        <v>-45299</v>
      </c>
      <c r="AR610" s="1">
        <v>0</v>
      </c>
      <c r="AS610" s="1">
        <v>-45299</v>
      </c>
      <c r="AT610" s="1">
        <v>0</v>
      </c>
      <c r="BA610" s="195"/>
      <c r="BB610" s="195"/>
      <c r="BC610" s="195"/>
      <c r="BD610" s="195"/>
      <c r="BE610" s="195"/>
      <c r="BF610" s="195"/>
      <c r="BG610" s="195"/>
      <c r="BH610" s="195"/>
      <c r="BI610" s="195"/>
    </row>
    <row r="611" spans="1:61" x14ac:dyDescent="0.25">
      <c r="A611" t="s">
        <v>343</v>
      </c>
      <c r="B611" t="s">
        <v>344</v>
      </c>
      <c r="C611" t="s">
        <v>1019</v>
      </c>
      <c r="D611" t="s">
        <v>1020</v>
      </c>
      <c r="E611" t="s">
        <v>1021</v>
      </c>
      <c r="F611" t="s">
        <v>28</v>
      </c>
      <c r="AG611" t="s">
        <v>571</v>
      </c>
      <c r="AH611" t="s">
        <v>572</v>
      </c>
      <c r="AI611" t="s">
        <v>353</v>
      </c>
      <c r="AJ611" t="s">
        <v>1021</v>
      </c>
      <c r="AK611" s="1">
        <v>-53312</v>
      </c>
      <c r="AL611" s="1">
        <v>0</v>
      </c>
      <c r="AM611" s="1">
        <v>-53312</v>
      </c>
      <c r="AN611" s="1">
        <v>-26656</v>
      </c>
      <c r="AO611" s="1">
        <v>0</v>
      </c>
      <c r="AP611" s="1">
        <v>-26656</v>
      </c>
      <c r="AQ611" s="1">
        <v>-39966.550000000003</v>
      </c>
      <c r="AR611" s="1">
        <v>0</v>
      </c>
      <c r="AS611" s="1">
        <v>-39966.550000000003</v>
      </c>
      <c r="AT611" s="1">
        <v>0</v>
      </c>
      <c r="BA611" s="195"/>
      <c r="BB611" s="195"/>
      <c r="BC611" s="195"/>
      <c r="BD611" s="195"/>
      <c r="BE611" s="195"/>
      <c r="BF611" s="195"/>
      <c r="BG611" s="195"/>
      <c r="BH611" s="195"/>
      <c r="BI611" s="195"/>
    </row>
    <row r="612" spans="1:61" x14ac:dyDescent="0.25">
      <c r="A612" t="s">
        <v>343</v>
      </c>
      <c r="B612" t="s">
        <v>344</v>
      </c>
      <c r="C612" t="s">
        <v>1019</v>
      </c>
      <c r="D612" t="s">
        <v>1020</v>
      </c>
      <c r="E612" t="s">
        <v>1021</v>
      </c>
      <c r="F612" t="s">
        <v>28</v>
      </c>
      <c r="AG612" t="s">
        <v>573</v>
      </c>
      <c r="AH612" t="s">
        <v>574</v>
      </c>
      <c r="AI612" t="s">
        <v>353</v>
      </c>
      <c r="AJ612" t="s">
        <v>1021</v>
      </c>
      <c r="AK612" s="1">
        <v>-14760.6</v>
      </c>
      <c r="AL612" s="1">
        <v>0</v>
      </c>
      <c r="AM612" s="1">
        <v>-14760.6</v>
      </c>
      <c r="AN612" s="1">
        <v>-7380.3</v>
      </c>
      <c r="AO612" s="1">
        <v>0</v>
      </c>
      <c r="AP612" s="1">
        <v>-7380.3</v>
      </c>
      <c r="AQ612" s="1">
        <v>-5299.69</v>
      </c>
      <c r="AR612" s="1">
        <v>0</v>
      </c>
      <c r="AS612" s="1">
        <v>-5299.69</v>
      </c>
      <c r="AT612" s="1">
        <v>0</v>
      </c>
      <c r="BA612" s="195"/>
      <c r="BB612" s="195"/>
      <c r="BC612" s="195"/>
      <c r="BD612" s="195"/>
      <c r="BE612" s="195"/>
      <c r="BF612" s="195"/>
      <c r="BG612" s="195"/>
      <c r="BH612" s="195"/>
      <c r="BI612" s="195"/>
    </row>
    <row r="613" spans="1:61" x14ac:dyDescent="0.25">
      <c r="A613" t="s">
        <v>343</v>
      </c>
      <c r="B613" t="s">
        <v>344</v>
      </c>
      <c r="C613" t="s">
        <v>1019</v>
      </c>
      <c r="D613" t="s">
        <v>1020</v>
      </c>
      <c r="E613" t="s">
        <v>1021</v>
      </c>
      <c r="F613" t="s">
        <v>28</v>
      </c>
      <c r="AG613" t="s">
        <v>575</v>
      </c>
      <c r="AH613" t="s">
        <v>576</v>
      </c>
      <c r="AI613" t="s">
        <v>353</v>
      </c>
      <c r="AJ613" t="s">
        <v>1021</v>
      </c>
      <c r="AK613" s="1">
        <v>-7384.72</v>
      </c>
      <c r="AL613" s="1">
        <v>0</v>
      </c>
      <c r="AM613" s="1">
        <v>-7384.72</v>
      </c>
      <c r="AN613" s="1">
        <v>-3692.36</v>
      </c>
      <c r="AO613" s="1">
        <v>0</v>
      </c>
      <c r="AP613" s="1">
        <v>-3692.36</v>
      </c>
      <c r="AQ613" s="1">
        <v>-3270.41</v>
      </c>
      <c r="AR613" s="1">
        <v>0</v>
      </c>
      <c r="AS613" s="1">
        <v>-3270.41</v>
      </c>
      <c r="AT613" s="1">
        <v>0</v>
      </c>
      <c r="BA613" s="195"/>
      <c r="BB613" s="195"/>
      <c r="BC613" s="195"/>
      <c r="BD613" s="195"/>
      <c r="BE613" s="195"/>
      <c r="BF613" s="195"/>
      <c r="BG613" s="195"/>
      <c r="BH613" s="195"/>
      <c r="BI613" s="195"/>
    </row>
    <row r="614" spans="1:61" x14ac:dyDescent="0.25">
      <c r="A614" t="s">
        <v>343</v>
      </c>
      <c r="B614" t="s">
        <v>344</v>
      </c>
      <c r="C614" t="s">
        <v>1019</v>
      </c>
      <c r="D614" t="s">
        <v>1020</v>
      </c>
      <c r="E614" t="s">
        <v>1021</v>
      </c>
      <c r="F614" t="s">
        <v>28</v>
      </c>
      <c r="AG614" t="s">
        <v>577</v>
      </c>
      <c r="AH614" t="s">
        <v>578</v>
      </c>
      <c r="AI614" t="s">
        <v>353</v>
      </c>
      <c r="AJ614" t="s">
        <v>1021</v>
      </c>
      <c r="AK614" s="1">
        <v>-25972</v>
      </c>
      <c r="AL614" s="1">
        <v>0</v>
      </c>
      <c r="AM614" s="1">
        <v>-25972</v>
      </c>
      <c r="AN614" s="1">
        <v>-12986</v>
      </c>
      <c r="AO614" s="1">
        <v>0</v>
      </c>
      <c r="AP614" s="1">
        <v>-12986</v>
      </c>
      <c r="AQ614" s="1">
        <v>-24108.06</v>
      </c>
      <c r="AR614" s="1">
        <v>0</v>
      </c>
      <c r="AS614" s="1">
        <v>-24108.06</v>
      </c>
      <c r="AT614" s="1">
        <v>0</v>
      </c>
      <c r="BA614" s="195"/>
      <c r="BB614" s="195"/>
      <c r="BC614" s="195"/>
      <c r="BD614" s="195"/>
      <c r="BE614" s="195"/>
      <c r="BF614" s="195"/>
      <c r="BG614" s="195"/>
      <c r="BH614" s="195"/>
      <c r="BI614" s="195"/>
    </row>
    <row r="615" spans="1:61" x14ac:dyDescent="0.25">
      <c r="A615" t="s">
        <v>343</v>
      </c>
      <c r="B615" t="s">
        <v>344</v>
      </c>
      <c r="C615" t="s">
        <v>1019</v>
      </c>
      <c r="D615" t="s">
        <v>1020</v>
      </c>
      <c r="E615" t="s">
        <v>1021</v>
      </c>
      <c r="F615" t="s">
        <v>28</v>
      </c>
      <c r="AG615" t="s">
        <v>579</v>
      </c>
      <c r="AH615" t="s">
        <v>580</v>
      </c>
      <c r="AI615" t="s">
        <v>353</v>
      </c>
      <c r="AJ615" t="s">
        <v>1021</v>
      </c>
      <c r="AK615" s="1">
        <v>-4337.16</v>
      </c>
      <c r="AL615" s="1">
        <v>0</v>
      </c>
      <c r="AM615" s="1">
        <v>-4337.16</v>
      </c>
      <c r="AN615" s="1">
        <v>-2168.58</v>
      </c>
      <c r="AO615" s="1">
        <v>0</v>
      </c>
      <c r="AP615" s="1">
        <v>-2168.58</v>
      </c>
      <c r="AQ615" s="1">
        <v>-25475.62</v>
      </c>
      <c r="AR615" s="1">
        <v>0</v>
      </c>
      <c r="AS615" s="1">
        <v>-25475.62</v>
      </c>
      <c r="AT615" s="1">
        <v>0</v>
      </c>
      <c r="BA615" s="195"/>
      <c r="BB615" s="195"/>
      <c r="BC615" s="195"/>
      <c r="BD615" s="195"/>
      <c r="BE615" s="195"/>
      <c r="BF615" s="195"/>
      <c r="BG615" s="195"/>
      <c r="BH615" s="195"/>
      <c r="BI615" s="195"/>
    </row>
    <row r="616" spans="1:61" x14ac:dyDescent="0.25">
      <c r="A616" t="s">
        <v>343</v>
      </c>
      <c r="B616" t="s">
        <v>344</v>
      </c>
      <c r="C616" t="s">
        <v>1019</v>
      </c>
      <c r="D616" t="s">
        <v>1020</v>
      </c>
      <c r="E616" t="s">
        <v>1021</v>
      </c>
      <c r="F616" t="s">
        <v>28</v>
      </c>
      <c r="AG616" t="s">
        <v>581</v>
      </c>
      <c r="AH616" t="s">
        <v>582</v>
      </c>
      <c r="AI616" t="s">
        <v>353</v>
      </c>
      <c r="AJ616" t="s">
        <v>1021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-1154.6400000000001</v>
      </c>
      <c r="AR616" s="1">
        <v>0</v>
      </c>
      <c r="AS616" s="1">
        <v>-1154.6400000000001</v>
      </c>
      <c r="AT616" s="1">
        <v>0</v>
      </c>
      <c r="BA616" s="195"/>
      <c r="BB616" s="195"/>
      <c r="BC616" s="195"/>
      <c r="BD616" s="195"/>
      <c r="BE616" s="195"/>
      <c r="BF616" s="195"/>
      <c r="BG616" s="195"/>
      <c r="BH616" s="195"/>
      <c r="BI616" s="195"/>
    </row>
    <row r="617" spans="1:61" x14ac:dyDescent="0.25">
      <c r="A617" t="s">
        <v>343</v>
      </c>
      <c r="B617" t="s">
        <v>344</v>
      </c>
      <c r="C617" t="s">
        <v>1019</v>
      </c>
      <c r="D617" t="s">
        <v>1020</v>
      </c>
      <c r="E617" t="s">
        <v>1021</v>
      </c>
      <c r="F617" t="s">
        <v>28</v>
      </c>
      <c r="AG617" t="s">
        <v>583</v>
      </c>
      <c r="AH617" t="s">
        <v>584</v>
      </c>
      <c r="AI617" t="s">
        <v>353</v>
      </c>
      <c r="AJ617" t="s">
        <v>1021</v>
      </c>
      <c r="AK617" s="1">
        <v>-114170</v>
      </c>
      <c r="AL617" s="1">
        <v>0</v>
      </c>
      <c r="AM617" s="1">
        <v>-114170</v>
      </c>
      <c r="AN617" s="1">
        <v>-57085</v>
      </c>
      <c r="AO617" s="1">
        <v>0</v>
      </c>
      <c r="AP617" s="1">
        <v>-57085</v>
      </c>
      <c r="AQ617" s="1">
        <v>-193059.05</v>
      </c>
      <c r="AR617" s="1">
        <v>0</v>
      </c>
      <c r="AS617" s="1">
        <v>-193059.05</v>
      </c>
      <c r="AT617" s="1">
        <v>0</v>
      </c>
      <c r="BA617" s="195"/>
      <c r="BB617" s="195"/>
      <c r="BC617" s="195"/>
      <c r="BD617" s="195"/>
      <c r="BE617" s="195"/>
      <c r="BF617" s="195"/>
      <c r="BG617" s="195"/>
      <c r="BH617" s="195"/>
      <c r="BI617" s="195"/>
    </row>
    <row r="618" spans="1:61" x14ac:dyDescent="0.25">
      <c r="A618" t="s">
        <v>343</v>
      </c>
      <c r="B618" t="s">
        <v>344</v>
      </c>
      <c r="C618" t="s">
        <v>1019</v>
      </c>
      <c r="D618" t="s">
        <v>1020</v>
      </c>
      <c r="E618" t="s">
        <v>1021</v>
      </c>
      <c r="F618" t="s">
        <v>28</v>
      </c>
      <c r="AG618" t="s">
        <v>585</v>
      </c>
      <c r="AH618" t="s">
        <v>586</v>
      </c>
      <c r="AI618" t="s">
        <v>353</v>
      </c>
      <c r="AJ618" t="s">
        <v>1021</v>
      </c>
      <c r="AK618" s="1">
        <v>-84558.62</v>
      </c>
      <c r="AL618" s="1">
        <v>0</v>
      </c>
      <c r="AM618" s="1">
        <v>-84558.62</v>
      </c>
      <c r="AN618" s="1">
        <v>-42279.31</v>
      </c>
      <c r="AO618" s="1">
        <v>0</v>
      </c>
      <c r="AP618" s="1">
        <v>-42279.31</v>
      </c>
      <c r="AQ618" s="1">
        <v>-54369.33</v>
      </c>
      <c r="AR618" s="1">
        <v>0</v>
      </c>
      <c r="AS618" s="1">
        <v>-54369.33</v>
      </c>
      <c r="AT618" s="1">
        <v>0</v>
      </c>
      <c r="BA618" s="195"/>
      <c r="BB618" s="195"/>
      <c r="BC618" s="195"/>
      <c r="BD618" s="195"/>
      <c r="BE618" s="195"/>
      <c r="BF618" s="195"/>
      <c r="BG618" s="195"/>
      <c r="BH618" s="195"/>
      <c r="BI618" s="195"/>
    </row>
    <row r="619" spans="1:61" x14ac:dyDescent="0.25">
      <c r="A619" t="s">
        <v>343</v>
      </c>
      <c r="B619" t="s">
        <v>344</v>
      </c>
      <c r="C619" t="s">
        <v>1019</v>
      </c>
      <c r="D619" t="s">
        <v>1020</v>
      </c>
      <c r="E619" t="s">
        <v>1021</v>
      </c>
      <c r="F619" t="s">
        <v>28</v>
      </c>
      <c r="AG619" t="s">
        <v>587</v>
      </c>
      <c r="AH619" t="s">
        <v>588</v>
      </c>
      <c r="AI619" t="s">
        <v>353</v>
      </c>
      <c r="AJ619" t="s">
        <v>1021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754.86</v>
      </c>
      <c r="AR619" s="1">
        <v>0</v>
      </c>
      <c r="AS619" s="1">
        <v>754.86</v>
      </c>
      <c r="AT619" s="1">
        <v>0</v>
      </c>
      <c r="BA619" s="195"/>
      <c r="BB619" s="195"/>
      <c r="BC619" s="195"/>
      <c r="BD619" s="195"/>
      <c r="BE619" s="195"/>
      <c r="BF619" s="195"/>
      <c r="BG619" s="195"/>
      <c r="BH619" s="195"/>
      <c r="BI619" s="195"/>
    </row>
    <row r="620" spans="1:61" x14ac:dyDescent="0.25">
      <c r="A620" t="s">
        <v>343</v>
      </c>
      <c r="B620" t="s">
        <v>344</v>
      </c>
      <c r="C620" t="s">
        <v>1019</v>
      </c>
      <c r="D620" t="s">
        <v>1020</v>
      </c>
      <c r="E620" t="s">
        <v>1021</v>
      </c>
      <c r="F620" t="s">
        <v>28</v>
      </c>
      <c r="AG620" t="s">
        <v>589</v>
      </c>
      <c r="AH620" t="s">
        <v>590</v>
      </c>
      <c r="AI620" t="s">
        <v>353</v>
      </c>
      <c r="AJ620" t="s">
        <v>1021</v>
      </c>
      <c r="AK620" s="1">
        <v>-54240</v>
      </c>
      <c r="AL620" s="1">
        <v>0</v>
      </c>
      <c r="AM620" s="1">
        <v>-54240</v>
      </c>
      <c r="AN620" s="1">
        <v>-27120</v>
      </c>
      <c r="AO620" s="1">
        <v>0</v>
      </c>
      <c r="AP620" s="1">
        <v>-27120</v>
      </c>
      <c r="AQ620" s="1">
        <v>-27120</v>
      </c>
      <c r="AR620" s="1">
        <v>0</v>
      </c>
      <c r="AS620" s="1">
        <v>-27120</v>
      </c>
      <c r="AT620" s="1">
        <v>0</v>
      </c>
      <c r="BA620" s="195"/>
      <c r="BB620" s="195"/>
      <c r="BC620" s="195"/>
      <c r="BD620" s="195"/>
      <c r="BE620" s="195"/>
      <c r="BF620" s="195"/>
      <c r="BG620" s="195"/>
      <c r="BH620" s="195"/>
      <c r="BI620" s="195"/>
    </row>
    <row r="621" spans="1:61" x14ac:dyDescent="0.25">
      <c r="A621" t="s">
        <v>343</v>
      </c>
      <c r="B621" t="s">
        <v>344</v>
      </c>
      <c r="C621" t="s">
        <v>1019</v>
      </c>
      <c r="D621" t="s">
        <v>1020</v>
      </c>
      <c r="E621" t="s">
        <v>1021</v>
      </c>
      <c r="F621" t="s">
        <v>28</v>
      </c>
      <c r="AG621" t="s">
        <v>591</v>
      </c>
      <c r="AH621" t="s">
        <v>592</v>
      </c>
      <c r="AI621" t="s">
        <v>353</v>
      </c>
      <c r="AJ621" t="s">
        <v>1021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v>0</v>
      </c>
      <c r="AQ621" s="1">
        <v>-30000</v>
      </c>
      <c r="AR621" s="1">
        <v>0</v>
      </c>
      <c r="AS621" s="1">
        <v>-30000</v>
      </c>
      <c r="AT621" s="1">
        <v>0</v>
      </c>
      <c r="BA621" s="195"/>
      <c r="BB621" s="195"/>
      <c r="BC621" s="195"/>
      <c r="BD621" s="195"/>
      <c r="BE621" s="195"/>
      <c r="BF621" s="195"/>
      <c r="BG621" s="195"/>
      <c r="BH621" s="195"/>
      <c r="BI621" s="195"/>
    </row>
    <row r="622" spans="1:61" x14ac:dyDescent="0.25">
      <c r="A622" t="s">
        <v>343</v>
      </c>
      <c r="B622" t="s">
        <v>344</v>
      </c>
      <c r="C622" t="s">
        <v>1019</v>
      </c>
      <c r="D622" t="s">
        <v>1020</v>
      </c>
      <c r="E622" t="s">
        <v>1021</v>
      </c>
      <c r="F622" t="s">
        <v>28</v>
      </c>
      <c r="AG622" t="s">
        <v>593</v>
      </c>
      <c r="AH622" t="s">
        <v>594</v>
      </c>
      <c r="AI622" t="s">
        <v>353</v>
      </c>
      <c r="AJ622" t="s">
        <v>1021</v>
      </c>
      <c r="AK622" s="1">
        <v>-6739.3</v>
      </c>
      <c r="AL622" s="1">
        <v>0</v>
      </c>
      <c r="AM622" s="1">
        <v>-6739.3</v>
      </c>
      <c r="AN622" s="1">
        <v>-3369.65</v>
      </c>
      <c r="AO622" s="1">
        <v>0</v>
      </c>
      <c r="AP622" s="1">
        <v>-3369.65</v>
      </c>
      <c r="AQ622" s="1">
        <v>-1035.6199999999999</v>
      </c>
      <c r="AR622" s="1">
        <v>0</v>
      </c>
      <c r="AS622" s="1">
        <v>-1035.6199999999999</v>
      </c>
      <c r="AT622" s="1">
        <v>0</v>
      </c>
      <c r="BA622" s="195"/>
      <c r="BB622" s="195"/>
      <c r="BC622" s="195"/>
      <c r="BD622" s="195"/>
      <c r="BE622" s="195"/>
      <c r="BF622" s="195"/>
      <c r="BG622" s="195"/>
      <c r="BH622" s="195"/>
      <c r="BI622" s="195"/>
    </row>
    <row r="623" spans="1:61" x14ac:dyDescent="0.25">
      <c r="A623" t="s">
        <v>343</v>
      </c>
      <c r="B623" t="s">
        <v>344</v>
      </c>
      <c r="C623" t="s">
        <v>1019</v>
      </c>
      <c r="D623" t="s">
        <v>1020</v>
      </c>
      <c r="E623" t="s">
        <v>1021</v>
      </c>
      <c r="F623" t="s">
        <v>28</v>
      </c>
      <c r="AG623" t="s">
        <v>595</v>
      </c>
      <c r="AH623" t="s">
        <v>596</v>
      </c>
      <c r="AI623" t="s">
        <v>353</v>
      </c>
      <c r="AJ623" t="s">
        <v>1021</v>
      </c>
      <c r="AK623" s="1">
        <v>-36000</v>
      </c>
      <c r="AL623" s="1">
        <v>0</v>
      </c>
      <c r="AM623" s="1">
        <v>-36000</v>
      </c>
      <c r="AN623" s="1">
        <v>-18000</v>
      </c>
      <c r="AO623" s="1">
        <v>0</v>
      </c>
      <c r="AP623" s="1">
        <v>-18000</v>
      </c>
      <c r="AQ623" s="1">
        <v>-18000</v>
      </c>
      <c r="AR623" s="1">
        <v>0</v>
      </c>
      <c r="AS623" s="1">
        <v>-18000</v>
      </c>
      <c r="AT623" s="1">
        <v>0</v>
      </c>
      <c r="BA623" s="195"/>
      <c r="BB623" s="195"/>
      <c r="BC623" s="195"/>
      <c r="BD623" s="195"/>
      <c r="BE623" s="195"/>
      <c r="BF623" s="195"/>
      <c r="BG623" s="195"/>
      <c r="BH623" s="195"/>
      <c r="BI623" s="195"/>
    </row>
    <row r="624" spans="1:61" x14ac:dyDescent="0.25">
      <c r="A624" t="s">
        <v>343</v>
      </c>
      <c r="B624" t="s">
        <v>344</v>
      </c>
      <c r="C624" t="s">
        <v>1019</v>
      </c>
      <c r="D624" t="s">
        <v>1020</v>
      </c>
      <c r="E624" t="s">
        <v>1021</v>
      </c>
      <c r="F624" t="s">
        <v>28</v>
      </c>
      <c r="AG624" t="s">
        <v>597</v>
      </c>
      <c r="AH624" t="s">
        <v>598</v>
      </c>
      <c r="AI624" t="s">
        <v>353</v>
      </c>
      <c r="AJ624" t="s">
        <v>1021</v>
      </c>
      <c r="AK624" s="1">
        <v>-3496</v>
      </c>
      <c r="AL624" s="1">
        <v>0</v>
      </c>
      <c r="AM624" s="1">
        <v>-3496</v>
      </c>
      <c r="AN624" s="1">
        <v>-1748</v>
      </c>
      <c r="AO624" s="1">
        <v>0</v>
      </c>
      <c r="AP624" s="1">
        <v>-1748</v>
      </c>
      <c r="AQ624" s="1">
        <v>0</v>
      </c>
      <c r="AR624" s="1">
        <v>0</v>
      </c>
      <c r="AS624" s="1">
        <v>0</v>
      </c>
      <c r="AT624" s="1">
        <v>0</v>
      </c>
      <c r="BA624" s="195"/>
      <c r="BB624" s="195"/>
      <c r="BC624" s="195"/>
      <c r="BD624" s="195"/>
      <c r="BE624" s="195"/>
      <c r="BF624" s="195"/>
      <c r="BG624" s="195"/>
      <c r="BH624" s="195"/>
      <c r="BI624" s="195"/>
    </row>
    <row r="625" spans="1:61" x14ac:dyDescent="0.25">
      <c r="A625" t="s">
        <v>343</v>
      </c>
      <c r="B625" t="s">
        <v>344</v>
      </c>
      <c r="C625" t="s">
        <v>1019</v>
      </c>
      <c r="D625" t="s">
        <v>1020</v>
      </c>
      <c r="E625" t="s">
        <v>1021</v>
      </c>
      <c r="F625" t="s">
        <v>28</v>
      </c>
      <c r="AG625" t="s">
        <v>599</v>
      </c>
      <c r="AH625" t="s">
        <v>600</v>
      </c>
      <c r="AI625" t="s">
        <v>353</v>
      </c>
      <c r="AJ625" t="s">
        <v>1021</v>
      </c>
      <c r="AK625" s="1">
        <v>-345608.52</v>
      </c>
      <c r="AL625" s="1">
        <v>0</v>
      </c>
      <c r="AM625" s="1">
        <v>-345608.52</v>
      </c>
      <c r="AN625" s="1">
        <v>-172804.26</v>
      </c>
      <c r="AO625" s="1">
        <v>0</v>
      </c>
      <c r="AP625" s="1">
        <v>-172804.26</v>
      </c>
      <c r="AQ625" s="1">
        <v>-199292.02</v>
      </c>
      <c r="AR625" s="1">
        <v>0</v>
      </c>
      <c r="AS625" s="1">
        <v>-199292.02</v>
      </c>
      <c r="AT625" s="1">
        <v>0</v>
      </c>
      <c r="BA625" s="195"/>
      <c r="BB625" s="195"/>
      <c r="BC625" s="195"/>
      <c r="BD625" s="195"/>
      <c r="BE625" s="195"/>
      <c r="BF625" s="195"/>
      <c r="BG625" s="195"/>
      <c r="BH625" s="195"/>
      <c r="BI625" s="195"/>
    </row>
    <row r="626" spans="1:61" x14ac:dyDescent="0.25">
      <c r="A626" t="s">
        <v>343</v>
      </c>
      <c r="B626" t="s">
        <v>344</v>
      </c>
      <c r="C626" t="s">
        <v>1019</v>
      </c>
      <c r="D626" t="s">
        <v>1020</v>
      </c>
      <c r="E626" t="s">
        <v>1021</v>
      </c>
      <c r="F626" t="s">
        <v>28</v>
      </c>
      <c r="AG626" t="s">
        <v>601</v>
      </c>
      <c r="AH626" t="s">
        <v>602</v>
      </c>
      <c r="AI626" t="s">
        <v>353</v>
      </c>
      <c r="AJ626" t="s">
        <v>1021</v>
      </c>
      <c r="AK626" s="1">
        <v>-226.5</v>
      </c>
      <c r="AL626" s="1">
        <v>0</v>
      </c>
      <c r="AM626" s="1">
        <v>-226.5</v>
      </c>
      <c r="AN626" s="1">
        <v>-113.25</v>
      </c>
      <c r="AO626" s="1">
        <v>0</v>
      </c>
      <c r="AP626" s="1">
        <v>-113.25</v>
      </c>
      <c r="AQ626" s="1">
        <v>-118.4</v>
      </c>
      <c r="AR626" s="1">
        <v>0</v>
      </c>
      <c r="AS626" s="1">
        <v>-118.4</v>
      </c>
      <c r="AT626" s="1">
        <v>0</v>
      </c>
      <c r="BA626" s="195"/>
      <c r="BB626" s="195"/>
      <c r="BC626" s="195"/>
      <c r="BD626" s="195"/>
      <c r="BE626" s="195"/>
      <c r="BF626" s="195"/>
      <c r="BG626" s="195"/>
      <c r="BH626" s="195"/>
      <c r="BI626" s="195"/>
    </row>
    <row r="627" spans="1:61" x14ac:dyDescent="0.25">
      <c r="A627" t="s">
        <v>343</v>
      </c>
      <c r="B627" t="s">
        <v>344</v>
      </c>
      <c r="C627" t="s">
        <v>1019</v>
      </c>
      <c r="D627" t="s">
        <v>1020</v>
      </c>
      <c r="E627" t="s">
        <v>1021</v>
      </c>
      <c r="F627" t="s">
        <v>28</v>
      </c>
      <c r="AG627" t="s">
        <v>603</v>
      </c>
      <c r="AH627" t="s">
        <v>604</v>
      </c>
      <c r="AI627" t="s">
        <v>353</v>
      </c>
      <c r="AJ627" t="s">
        <v>1021</v>
      </c>
      <c r="AK627" s="1">
        <v>-297255.86</v>
      </c>
      <c r="AL627" s="1">
        <v>0</v>
      </c>
      <c r="AM627" s="1">
        <v>-297255.86</v>
      </c>
      <c r="AN627" s="1">
        <v>-148627.93</v>
      </c>
      <c r="AO627" s="1">
        <v>0</v>
      </c>
      <c r="AP627" s="1">
        <v>-148627.93</v>
      </c>
      <c r="AQ627" s="1">
        <v>-125110.38</v>
      </c>
      <c r="AR627" s="1">
        <v>0</v>
      </c>
      <c r="AS627" s="1">
        <v>-125110.38</v>
      </c>
      <c r="AT627" s="1">
        <v>0</v>
      </c>
      <c r="BA627" s="195"/>
      <c r="BB627" s="195"/>
      <c r="BC627" s="195"/>
      <c r="BD627" s="195"/>
      <c r="BE627" s="195"/>
      <c r="BF627" s="195"/>
      <c r="BG627" s="195"/>
      <c r="BH627" s="195"/>
      <c r="BI627" s="195"/>
    </row>
    <row r="628" spans="1:61" x14ac:dyDescent="0.25">
      <c r="A628" t="s">
        <v>343</v>
      </c>
      <c r="B628" t="s">
        <v>344</v>
      </c>
      <c r="C628" t="s">
        <v>1019</v>
      </c>
      <c r="D628" t="s">
        <v>1020</v>
      </c>
      <c r="E628" t="s">
        <v>1021</v>
      </c>
      <c r="F628" t="s">
        <v>28</v>
      </c>
      <c r="AG628" t="s">
        <v>605</v>
      </c>
      <c r="AH628" t="s">
        <v>606</v>
      </c>
      <c r="AI628" t="s">
        <v>353</v>
      </c>
      <c r="AJ628" t="s">
        <v>1021</v>
      </c>
      <c r="AK628" s="1">
        <v>-70119.3</v>
      </c>
      <c r="AL628" s="1">
        <v>0</v>
      </c>
      <c r="AM628" s="1">
        <v>-70119.3</v>
      </c>
      <c r="AN628" s="1">
        <v>-35059.65</v>
      </c>
      <c r="AO628" s="1">
        <v>0</v>
      </c>
      <c r="AP628" s="1">
        <v>-35059.65</v>
      </c>
      <c r="AQ628" s="1">
        <v>-20006.8</v>
      </c>
      <c r="AR628" s="1">
        <v>0</v>
      </c>
      <c r="AS628" s="1">
        <v>-20006.8</v>
      </c>
      <c r="AT628" s="1">
        <v>0</v>
      </c>
      <c r="BA628" s="195"/>
      <c r="BB628" s="195"/>
      <c r="BC628" s="195"/>
      <c r="BD628" s="195"/>
      <c r="BE628" s="195"/>
      <c r="BF628" s="195"/>
      <c r="BG628" s="195"/>
      <c r="BH628" s="195"/>
      <c r="BI628" s="195"/>
    </row>
    <row r="629" spans="1:61" x14ac:dyDescent="0.25">
      <c r="A629" t="s">
        <v>343</v>
      </c>
      <c r="B629" t="s">
        <v>344</v>
      </c>
      <c r="C629" t="s">
        <v>1019</v>
      </c>
      <c r="D629" t="s">
        <v>1020</v>
      </c>
      <c r="E629" t="s">
        <v>1021</v>
      </c>
      <c r="F629" t="s">
        <v>28</v>
      </c>
      <c r="AG629" t="s">
        <v>607</v>
      </c>
      <c r="AH629" t="s">
        <v>608</v>
      </c>
      <c r="AI629" t="s">
        <v>353</v>
      </c>
      <c r="AJ629" t="s">
        <v>1021</v>
      </c>
      <c r="AK629" s="1">
        <v>-10966.94</v>
      </c>
      <c r="AL629" s="1">
        <v>0</v>
      </c>
      <c r="AM629" s="1">
        <v>-10966.94</v>
      </c>
      <c r="AN629" s="1">
        <v>-5483.47</v>
      </c>
      <c r="AO629" s="1">
        <v>0</v>
      </c>
      <c r="AP629" s="1">
        <v>-5483.47</v>
      </c>
      <c r="AQ629" s="1">
        <v>-16959.97</v>
      </c>
      <c r="AR629" s="1">
        <v>0</v>
      </c>
      <c r="AS629" s="1">
        <v>-16959.97</v>
      </c>
      <c r="AT629" s="1">
        <v>0</v>
      </c>
      <c r="BA629" s="195"/>
      <c r="BB629" s="195"/>
      <c r="BC629" s="195"/>
      <c r="BD629" s="195"/>
      <c r="BE629" s="195"/>
      <c r="BF629" s="195"/>
      <c r="BG629" s="195"/>
      <c r="BH629" s="195"/>
      <c r="BI629" s="195"/>
    </row>
    <row r="630" spans="1:61" x14ac:dyDescent="0.25">
      <c r="A630" t="s">
        <v>343</v>
      </c>
      <c r="B630" t="s">
        <v>344</v>
      </c>
      <c r="C630" t="s">
        <v>1019</v>
      </c>
      <c r="D630" t="s">
        <v>1020</v>
      </c>
      <c r="E630" t="s">
        <v>1021</v>
      </c>
      <c r="F630" t="s">
        <v>28</v>
      </c>
      <c r="AG630" t="s">
        <v>609</v>
      </c>
      <c r="AH630" t="s">
        <v>610</v>
      </c>
      <c r="AI630" t="s">
        <v>353</v>
      </c>
      <c r="AJ630" t="s">
        <v>1021</v>
      </c>
      <c r="AK630" s="1">
        <v>-73721.919999999998</v>
      </c>
      <c r="AL630" s="1">
        <v>0</v>
      </c>
      <c r="AM630" s="1">
        <v>-73721.919999999998</v>
      </c>
      <c r="AN630" s="1">
        <v>-36860.959999999999</v>
      </c>
      <c r="AO630" s="1">
        <v>0</v>
      </c>
      <c r="AP630" s="1">
        <v>-36860.959999999999</v>
      </c>
      <c r="AQ630" s="1">
        <v>-38145.040000000001</v>
      </c>
      <c r="AR630" s="1">
        <v>0</v>
      </c>
      <c r="AS630" s="1">
        <v>-38145.040000000001</v>
      </c>
      <c r="AT630" s="1">
        <v>0</v>
      </c>
      <c r="BA630" s="195"/>
      <c r="BB630" s="195"/>
      <c r="BC630" s="195"/>
      <c r="BD630" s="195"/>
      <c r="BE630" s="195"/>
      <c r="BF630" s="195"/>
      <c r="BG630" s="195"/>
      <c r="BH630" s="195"/>
      <c r="BI630" s="195"/>
    </row>
    <row r="631" spans="1:61" x14ac:dyDescent="0.25">
      <c r="A631" t="s">
        <v>343</v>
      </c>
      <c r="B631" t="s">
        <v>344</v>
      </c>
      <c r="C631" t="s">
        <v>1019</v>
      </c>
      <c r="D631" t="s">
        <v>1020</v>
      </c>
      <c r="E631" t="s">
        <v>1021</v>
      </c>
      <c r="F631" t="s">
        <v>28</v>
      </c>
      <c r="AG631" t="s">
        <v>611</v>
      </c>
      <c r="AH631" t="s">
        <v>612</v>
      </c>
      <c r="AI631" t="s">
        <v>353</v>
      </c>
      <c r="AJ631" t="s">
        <v>1021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v>0</v>
      </c>
      <c r="AQ631" s="1">
        <v>-36.049999999999997</v>
      </c>
      <c r="AR631" s="1">
        <v>0</v>
      </c>
      <c r="AS631" s="1">
        <v>-36.049999999999997</v>
      </c>
      <c r="AT631" s="1">
        <v>0</v>
      </c>
      <c r="BA631" s="195"/>
      <c r="BB631" s="195"/>
      <c r="BC631" s="195"/>
      <c r="BD631" s="195"/>
      <c r="BE631" s="195"/>
      <c r="BF631" s="195"/>
      <c r="BG631" s="195"/>
      <c r="BH631" s="195"/>
      <c r="BI631" s="195"/>
    </row>
    <row r="632" spans="1:61" x14ac:dyDescent="0.25">
      <c r="A632" t="s">
        <v>343</v>
      </c>
      <c r="B632" t="s">
        <v>344</v>
      </c>
      <c r="C632" t="s">
        <v>1019</v>
      </c>
      <c r="D632" t="s">
        <v>1020</v>
      </c>
      <c r="E632" t="s">
        <v>1021</v>
      </c>
      <c r="F632" t="s">
        <v>28</v>
      </c>
      <c r="AG632" t="s">
        <v>613</v>
      </c>
      <c r="AH632" t="s">
        <v>614</v>
      </c>
      <c r="AI632" t="s">
        <v>353</v>
      </c>
      <c r="AJ632" t="s">
        <v>1021</v>
      </c>
      <c r="AK632" s="1">
        <v>-2890.42</v>
      </c>
      <c r="AL632" s="1">
        <v>0</v>
      </c>
      <c r="AM632" s="1">
        <v>-2890.42</v>
      </c>
      <c r="AN632" s="1">
        <v>-1445.21</v>
      </c>
      <c r="AO632" s="1">
        <v>0</v>
      </c>
      <c r="AP632" s="1">
        <v>-1445.21</v>
      </c>
      <c r="AQ632" s="1">
        <v>-760.4</v>
      </c>
      <c r="AR632" s="1">
        <v>0</v>
      </c>
      <c r="AS632" s="1">
        <v>-760.4</v>
      </c>
      <c r="AT632" s="1">
        <v>0</v>
      </c>
      <c r="BA632" s="195"/>
      <c r="BB632" s="195"/>
      <c r="BC632" s="195"/>
      <c r="BD632" s="195"/>
      <c r="BE632" s="195"/>
      <c r="BF632" s="195"/>
      <c r="BG632" s="195"/>
      <c r="BH632" s="195"/>
      <c r="BI632" s="195"/>
    </row>
    <row r="633" spans="1:61" x14ac:dyDescent="0.25">
      <c r="A633" t="s">
        <v>343</v>
      </c>
      <c r="B633" t="s">
        <v>344</v>
      </c>
      <c r="C633" t="s">
        <v>1019</v>
      </c>
      <c r="D633" t="s">
        <v>1020</v>
      </c>
      <c r="E633" t="s">
        <v>1021</v>
      </c>
      <c r="F633" t="s">
        <v>28</v>
      </c>
      <c r="AG633" t="s">
        <v>615</v>
      </c>
      <c r="AH633" t="s">
        <v>616</v>
      </c>
      <c r="AI633" t="s">
        <v>353</v>
      </c>
      <c r="AJ633" t="s">
        <v>1021</v>
      </c>
      <c r="AK633" s="1">
        <v>-1000</v>
      </c>
      <c r="AL633" s="1">
        <v>0</v>
      </c>
      <c r="AM633" s="1">
        <v>-1000</v>
      </c>
      <c r="AN633" s="1">
        <v>-500</v>
      </c>
      <c r="AO633" s="1">
        <v>0</v>
      </c>
      <c r="AP633" s="1">
        <v>-500</v>
      </c>
      <c r="AQ633" s="1">
        <v>0</v>
      </c>
      <c r="AR633" s="1">
        <v>0</v>
      </c>
      <c r="AS633" s="1">
        <v>0</v>
      </c>
      <c r="AT633" s="1">
        <v>0</v>
      </c>
      <c r="BA633" s="195"/>
      <c r="BB633" s="195"/>
      <c r="BC633" s="195"/>
      <c r="BD633" s="195"/>
      <c r="BE633" s="195"/>
      <c r="BF633" s="195"/>
      <c r="BG633" s="195"/>
      <c r="BH633" s="195"/>
      <c r="BI633" s="195"/>
    </row>
    <row r="634" spans="1:61" x14ac:dyDescent="0.25">
      <c r="A634" t="s">
        <v>343</v>
      </c>
      <c r="B634" t="s">
        <v>344</v>
      </c>
      <c r="C634" t="s">
        <v>1019</v>
      </c>
      <c r="D634" t="s">
        <v>1020</v>
      </c>
      <c r="E634" t="s">
        <v>1021</v>
      </c>
      <c r="F634" t="s">
        <v>28</v>
      </c>
      <c r="AG634" t="s">
        <v>617</v>
      </c>
      <c r="AH634" t="s">
        <v>618</v>
      </c>
      <c r="AI634" t="s">
        <v>353</v>
      </c>
      <c r="AJ634" t="s">
        <v>1021</v>
      </c>
      <c r="AK634" s="1">
        <v>-1763.04</v>
      </c>
      <c r="AL634" s="1">
        <v>0</v>
      </c>
      <c r="AM634" s="1">
        <v>-1763.04</v>
      </c>
      <c r="AN634" s="1">
        <v>-881.52</v>
      </c>
      <c r="AO634" s="1">
        <v>0</v>
      </c>
      <c r="AP634" s="1">
        <v>-881.52</v>
      </c>
      <c r="AQ634" s="1">
        <v>0</v>
      </c>
      <c r="AR634" s="1">
        <v>0</v>
      </c>
      <c r="AS634" s="1">
        <v>0</v>
      </c>
      <c r="AT634" s="1">
        <v>0</v>
      </c>
      <c r="BA634" s="195"/>
      <c r="BB634" s="195"/>
      <c r="BC634" s="195"/>
      <c r="BD634" s="195"/>
      <c r="BE634" s="195"/>
      <c r="BF634" s="195"/>
      <c r="BG634" s="195"/>
      <c r="BH634" s="195"/>
      <c r="BI634" s="195"/>
    </row>
    <row r="635" spans="1:61" x14ac:dyDescent="0.25">
      <c r="A635" t="s">
        <v>343</v>
      </c>
      <c r="B635" t="s">
        <v>344</v>
      </c>
      <c r="C635" t="s">
        <v>1019</v>
      </c>
      <c r="D635" t="s">
        <v>1020</v>
      </c>
      <c r="E635" t="s">
        <v>1021</v>
      </c>
      <c r="F635" t="s">
        <v>28</v>
      </c>
      <c r="AG635" t="s">
        <v>619</v>
      </c>
      <c r="AH635" t="s">
        <v>620</v>
      </c>
      <c r="AI635" t="s">
        <v>353</v>
      </c>
      <c r="AJ635" t="s">
        <v>1021</v>
      </c>
      <c r="AK635" s="1">
        <v>-301090.08</v>
      </c>
      <c r="AL635" s="1">
        <v>0</v>
      </c>
      <c r="AM635" s="1">
        <v>-301090.08</v>
      </c>
      <c r="AN635" s="1">
        <v>-150545.04</v>
      </c>
      <c r="AO635" s="1">
        <v>0</v>
      </c>
      <c r="AP635" s="1">
        <v>-150545.04</v>
      </c>
      <c r="AQ635" s="1">
        <v>-168883.98</v>
      </c>
      <c r="AR635" s="1">
        <v>0</v>
      </c>
      <c r="AS635" s="1">
        <v>-168883.98</v>
      </c>
      <c r="AT635" s="1">
        <v>0</v>
      </c>
      <c r="BA635" s="195"/>
      <c r="BB635" s="195"/>
      <c r="BC635" s="195"/>
      <c r="BD635" s="195"/>
      <c r="BE635" s="195"/>
      <c r="BF635" s="195"/>
      <c r="BG635" s="195"/>
      <c r="BH635" s="195"/>
      <c r="BI635" s="195"/>
    </row>
    <row r="636" spans="1:61" x14ac:dyDescent="0.25">
      <c r="A636" t="s">
        <v>343</v>
      </c>
      <c r="B636" t="s">
        <v>344</v>
      </c>
      <c r="C636" t="s">
        <v>1019</v>
      </c>
      <c r="D636" t="s">
        <v>1020</v>
      </c>
      <c r="E636" t="s">
        <v>1021</v>
      </c>
      <c r="F636" t="s">
        <v>28</v>
      </c>
      <c r="AG636" t="s">
        <v>621</v>
      </c>
      <c r="AH636" t="s">
        <v>622</v>
      </c>
      <c r="AI636" t="s">
        <v>353</v>
      </c>
      <c r="AJ636" t="s">
        <v>1021</v>
      </c>
      <c r="AK636" s="1">
        <v>-2120</v>
      </c>
      <c r="AL636" s="1">
        <v>0</v>
      </c>
      <c r="AM636" s="1">
        <v>-2120</v>
      </c>
      <c r="AN636" s="1">
        <v>-1060</v>
      </c>
      <c r="AO636" s="1">
        <v>0</v>
      </c>
      <c r="AP636" s="1">
        <v>-1060</v>
      </c>
      <c r="AQ636" s="1">
        <v>-6574.62</v>
      </c>
      <c r="AR636" s="1">
        <v>0</v>
      </c>
      <c r="AS636" s="1">
        <v>-6574.62</v>
      </c>
      <c r="AT636" s="1">
        <v>0</v>
      </c>
      <c r="BA636" s="195"/>
      <c r="BB636" s="195"/>
      <c r="BC636" s="195"/>
      <c r="BD636" s="195"/>
      <c r="BE636" s="195"/>
      <c r="BF636" s="195"/>
      <c r="BG636" s="195"/>
      <c r="BH636" s="195"/>
      <c r="BI636" s="195"/>
    </row>
    <row r="637" spans="1:61" x14ac:dyDescent="0.25">
      <c r="A637" t="s">
        <v>343</v>
      </c>
      <c r="B637" t="s">
        <v>344</v>
      </c>
      <c r="C637" t="s">
        <v>1019</v>
      </c>
      <c r="D637" t="s">
        <v>1020</v>
      </c>
      <c r="E637" t="s">
        <v>1021</v>
      </c>
      <c r="F637" t="s">
        <v>28</v>
      </c>
      <c r="AG637" t="s">
        <v>623</v>
      </c>
      <c r="AH637" t="s">
        <v>624</v>
      </c>
      <c r="AI637" t="s">
        <v>353</v>
      </c>
      <c r="AJ637" t="s">
        <v>1021</v>
      </c>
      <c r="AK637" s="1">
        <v>-796913.86</v>
      </c>
      <c r="AL637" s="1">
        <v>0</v>
      </c>
      <c r="AM637" s="1">
        <v>-796913.86</v>
      </c>
      <c r="AN637" s="1">
        <v>-398456.93</v>
      </c>
      <c r="AO637" s="1">
        <v>0</v>
      </c>
      <c r="AP637" s="1">
        <v>-398456.93</v>
      </c>
      <c r="AQ637" s="1">
        <v>-466585.89</v>
      </c>
      <c r="AR637" s="1">
        <v>0</v>
      </c>
      <c r="AS637" s="1">
        <v>-466585.89</v>
      </c>
      <c r="AT637" s="1">
        <v>0</v>
      </c>
      <c r="BA637" s="195"/>
      <c r="BB637" s="195"/>
      <c r="BC637" s="195"/>
      <c r="BD637" s="195"/>
      <c r="BE637" s="195"/>
      <c r="BF637" s="195"/>
      <c r="BG637" s="195"/>
      <c r="BH637" s="195"/>
      <c r="BI637" s="195"/>
    </row>
    <row r="638" spans="1:61" x14ac:dyDescent="0.25">
      <c r="A638" t="s">
        <v>343</v>
      </c>
      <c r="B638" t="s">
        <v>344</v>
      </c>
      <c r="C638" t="s">
        <v>1019</v>
      </c>
      <c r="D638" t="s">
        <v>1020</v>
      </c>
      <c r="E638" t="s">
        <v>1021</v>
      </c>
      <c r="F638" t="s">
        <v>28</v>
      </c>
      <c r="AG638" t="s">
        <v>625</v>
      </c>
      <c r="AH638" t="s">
        <v>626</v>
      </c>
      <c r="AI638" t="s">
        <v>353</v>
      </c>
      <c r="AJ638" t="s">
        <v>1021</v>
      </c>
      <c r="AK638" s="1">
        <v>-31581.200000000001</v>
      </c>
      <c r="AL638" s="1">
        <v>0</v>
      </c>
      <c r="AM638" s="1">
        <v>-31581.200000000001</v>
      </c>
      <c r="AN638" s="1">
        <v>-15790.6</v>
      </c>
      <c r="AO638" s="1">
        <v>0</v>
      </c>
      <c r="AP638" s="1">
        <v>-15790.6</v>
      </c>
      <c r="AQ638" s="1">
        <v>0</v>
      </c>
      <c r="AR638" s="1">
        <v>0</v>
      </c>
      <c r="AS638" s="1">
        <v>0</v>
      </c>
      <c r="AT638" s="1">
        <v>0</v>
      </c>
      <c r="BA638" s="195"/>
      <c r="BB638" s="195"/>
      <c r="BC638" s="195"/>
      <c r="BD638" s="195"/>
      <c r="BE638" s="195"/>
      <c r="BF638" s="195"/>
      <c r="BG638" s="195"/>
      <c r="BH638" s="195"/>
      <c r="BI638" s="195"/>
    </row>
    <row r="639" spans="1:61" x14ac:dyDescent="0.25">
      <c r="A639" t="s">
        <v>343</v>
      </c>
      <c r="B639" t="s">
        <v>344</v>
      </c>
      <c r="C639" t="s">
        <v>1019</v>
      </c>
      <c r="D639" t="s">
        <v>1020</v>
      </c>
      <c r="E639" t="s">
        <v>1021</v>
      </c>
      <c r="F639" t="s">
        <v>28</v>
      </c>
      <c r="AG639" t="s">
        <v>627</v>
      </c>
      <c r="AH639" t="s">
        <v>628</v>
      </c>
      <c r="AI639" t="s">
        <v>353</v>
      </c>
      <c r="AJ639" t="s">
        <v>1021</v>
      </c>
      <c r="AK639" s="1">
        <v>-6925.1</v>
      </c>
      <c r="AL639" s="1">
        <v>0</v>
      </c>
      <c r="AM639" s="1">
        <v>-6925.1</v>
      </c>
      <c r="AN639" s="1">
        <v>-3462.55</v>
      </c>
      <c r="AO639" s="1">
        <v>0</v>
      </c>
      <c r="AP639" s="1">
        <v>-3462.55</v>
      </c>
      <c r="AQ639" s="1">
        <v>-1733.63</v>
      </c>
      <c r="AR639" s="1">
        <v>0</v>
      </c>
      <c r="AS639" s="1">
        <v>-1733.63</v>
      </c>
      <c r="AT639" s="1">
        <v>0</v>
      </c>
      <c r="BA639" s="195"/>
      <c r="BB639" s="195"/>
      <c r="BC639" s="195"/>
      <c r="BD639" s="195"/>
      <c r="BE639" s="195"/>
      <c r="BF639" s="195"/>
      <c r="BG639" s="195"/>
      <c r="BH639" s="195"/>
      <c r="BI639" s="195"/>
    </row>
    <row r="640" spans="1:61" x14ac:dyDescent="0.25">
      <c r="A640" t="s">
        <v>343</v>
      </c>
      <c r="B640" t="s">
        <v>344</v>
      </c>
      <c r="C640" t="s">
        <v>1019</v>
      </c>
      <c r="D640" t="s">
        <v>1020</v>
      </c>
      <c r="E640" t="s">
        <v>1021</v>
      </c>
      <c r="F640" t="s">
        <v>28</v>
      </c>
      <c r="AG640" t="s">
        <v>629</v>
      </c>
      <c r="AH640" t="s">
        <v>630</v>
      </c>
      <c r="AI640" t="s">
        <v>353</v>
      </c>
      <c r="AJ640" t="s">
        <v>1021</v>
      </c>
      <c r="AK640" s="1">
        <v>-39314.199999999997</v>
      </c>
      <c r="AL640" s="1">
        <v>0</v>
      </c>
      <c r="AM640" s="1">
        <v>-39314.199999999997</v>
      </c>
      <c r="AN640" s="1">
        <v>-19657.099999999999</v>
      </c>
      <c r="AO640" s="1">
        <v>0</v>
      </c>
      <c r="AP640" s="1">
        <v>-19657.099999999999</v>
      </c>
      <c r="AQ640" s="1">
        <v>-14528.34</v>
      </c>
      <c r="AR640" s="1">
        <v>0</v>
      </c>
      <c r="AS640" s="1">
        <v>-14528.34</v>
      </c>
      <c r="AT640" s="1">
        <v>0</v>
      </c>
      <c r="BA640" s="195"/>
      <c r="BB640" s="195"/>
      <c r="BC640" s="195"/>
      <c r="BD640" s="195"/>
      <c r="BE640" s="195"/>
      <c r="BF640" s="195"/>
      <c r="BG640" s="195"/>
      <c r="BH640" s="195"/>
      <c r="BI640" s="195"/>
    </row>
    <row r="641" spans="1:61" x14ac:dyDescent="0.25">
      <c r="A641" t="s">
        <v>343</v>
      </c>
      <c r="B641" t="s">
        <v>344</v>
      </c>
      <c r="C641" t="s">
        <v>1019</v>
      </c>
      <c r="D641" t="s">
        <v>1020</v>
      </c>
      <c r="E641" t="s">
        <v>1021</v>
      </c>
      <c r="F641" t="s">
        <v>28</v>
      </c>
      <c r="AG641" t="s">
        <v>631</v>
      </c>
      <c r="AH641" t="s">
        <v>632</v>
      </c>
      <c r="AI641" t="s">
        <v>353</v>
      </c>
      <c r="AJ641" t="s">
        <v>1021</v>
      </c>
      <c r="AK641" s="1">
        <v>-22495.42</v>
      </c>
      <c r="AL641" s="1">
        <v>0</v>
      </c>
      <c r="AM641" s="1">
        <v>-22495.42</v>
      </c>
      <c r="AN641" s="1">
        <v>-11247.71</v>
      </c>
      <c r="AO641" s="1">
        <v>0</v>
      </c>
      <c r="AP641" s="1">
        <v>-11247.71</v>
      </c>
      <c r="AQ641" s="1">
        <v>-14369.95</v>
      </c>
      <c r="AR641" s="1">
        <v>0</v>
      </c>
      <c r="AS641" s="1">
        <v>-14369.95</v>
      </c>
      <c r="AT641" s="1">
        <v>0</v>
      </c>
      <c r="BA641" s="195"/>
      <c r="BB641" s="195"/>
      <c r="BC641" s="195"/>
      <c r="BD641" s="195"/>
      <c r="BE641" s="195"/>
      <c r="BF641" s="195"/>
      <c r="BG641" s="195"/>
      <c r="BH641" s="195"/>
      <c r="BI641" s="195"/>
    </row>
    <row r="642" spans="1:61" x14ac:dyDescent="0.25">
      <c r="A642" t="s">
        <v>343</v>
      </c>
      <c r="B642" t="s">
        <v>344</v>
      </c>
      <c r="C642" t="s">
        <v>1019</v>
      </c>
      <c r="D642" t="s">
        <v>1020</v>
      </c>
      <c r="E642" t="s">
        <v>1021</v>
      </c>
      <c r="F642" t="s">
        <v>28</v>
      </c>
      <c r="AG642" t="s">
        <v>633</v>
      </c>
      <c r="AH642" t="s">
        <v>634</v>
      </c>
      <c r="AI642" t="s">
        <v>353</v>
      </c>
      <c r="AJ642" t="s">
        <v>1021</v>
      </c>
      <c r="AK642" s="1">
        <v>-220742.54</v>
      </c>
      <c r="AL642" s="1">
        <v>0</v>
      </c>
      <c r="AM642" s="1">
        <v>-220742.54</v>
      </c>
      <c r="AN642" s="1">
        <v>-110371.27</v>
      </c>
      <c r="AO642" s="1">
        <v>0</v>
      </c>
      <c r="AP642" s="1">
        <v>-110371.27</v>
      </c>
      <c r="AQ642" s="1">
        <v>-93434.92</v>
      </c>
      <c r="AR642" s="1">
        <v>0</v>
      </c>
      <c r="AS642" s="1">
        <v>-93434.92</v>
      </c>
      <c r="AT642" s="1">
        <v>0</v>
      </c>
      <c r="BA642" s="195"/>
      <c r="BB642" s="195"/>
      <c r="BC642" s="195"/>
      <c r="BD642" s="195"/>
      <c r="BE642" s="195"/>
      <c r="BF642" s="195"/>
      <c r="BG642" s="195"/>
      <c r="BH642" s="195"/>
      <c r="BI642" s="195"/>
    </row>
    <row r="643" spans="1:61" x14ac:dyDescent="0.25">
      <c r="A643" t="s">
        <v>343</v>
      </c>
      <c r="B643" t="s">
        <v>344</v>
      </c>
      <c r="C643" t="s">
        <v>1019</v>
      </c>
      <c r="D643" t="s">
        <v>1020</v>
      </c>
      <c r="E643" t="s">
        <v>1021</v>
      </c>
      <c r="F643" t="s">
        <v>28</v>
      </c>
      <c r="AG643" t="s">
        <v>635</v>
      </c>
      <c r="AH643" t="s">
        <v>636</v>
      </c>
      <c r="AI643" t="s">
        <v>353</v>
      </c>
      <c r="AJ643" t="s">
        <v>1021</v>
      </c>
      <c r="AK643" s="1">
        <v>-7476.82</v>
      </c>
      <c r="AL643" s="1">
        <v>0</v>
      </c>
      <c r="AM643" s="1">
        <v>-7476.82</v>
      </c>
      <c r="AN643" s="1">
        <v>-3738.41</v>
      </c>
      <c r="AO643" s="1">
        <v>0</v>
      </c>
      <c r="AP643" s="1">
        <v>-3738.41</v>
      </c>
      <c r="AQ643" s="1">
        <v>-2618.91</v>
      </c>
      <c r="AR643" s="1">
        <v>0</v>
      </c>
      <c r="AS643" s="1">
        <v>-2618.91</v>
      </c>
      <c r="AT643" s="1">
        <v>0</v>
      </c>
      <c r="BA643" s="195"/>
      <c r="BB643" s="195"/>
      <c r="BC643" s="195"/>
      <c r="BD643" s="195"/>
      <c r="BE643" s="195"/>
      <c r="BF643" s="195"/>
      <c r="BG643" s="195"/>
      <c r="BH643" s="195"/>
      <c r="BI643" s="195"/>
    </row>
    <row r="644" spans="1:61" x14ac:dyDescent="0.25">
      <c r="A644" t="s">
        <v>343</v>
      </c>
      <c r="B644" t="s">
        <v>344</v>
      </c>
      <c r="C644" t="s">
        <v>1019</v>
      </c>
      <c r="D644" t="s">
        <v>1020</v>
      </c>
      <c r="E644" t="s">
        <v>1021</v>
      </c>
      <c r="F644" t="s">
        <v>28</v>
      </c>
      <c r="AG644" t="s">
        <v>637</v>
      </c>
      <c r="AH644" t="s">
        <v>638</v>
      </c>
      <c r="AI644" t="s">
        <v>353</v>
      </c>
      <c r="AJ644" t="s">
        <v>1021</v>
      </c>
      <c r="AK644" s="1">
        <v>-70768.740000000005</v>
      </c>
      <c r="AL644" s="1">
        <v>0</v>
      </c>
      <c r="AM644" s="1">
        <v>-70768.740000000005</v>
      </c>
      <c r="AN644" s="1">
        <v>-35384.370000000003</v>
      </c>
      <c r="AO644" s="1">
        <v>0</v>
      </c>
      <c r="AP644" s="1">
        <v>-35384.370000000003</v>
      </c>
      <c r="AQ644" s="1">
        <v>-118855.35</v>
      </c>
      <c r="AR644" s="1">
        <v>0</v>
      </c>
      <c r="AS644" s="1">
        <v>-118855.35</v>
      </c>
      <c r="AT644" s="1">
        <v>0</v>
      </c>
      <c r="BA644" s="195"/>
      <c r="BB644" s="195"/>
      <c r="BC644" s="195"/>
      <c r="BD644" s="195"/>
      <c r="BE644" s="195"/>
      <c r="BF644" s="195"/>
      <c r="BG644" s="195"/>
      <c r="BH644" s="195"/>
      <c r="BI644" s="195"/>
    </row>
    <row r="645" spans="1:61" x14ac:dyDescent="0.25">
      <c r="A645" t="s">
        <v>343</v>
      </c>
      <c r="B645" t="s">
        <v>344</v>
      </c>
      <c r="C645" t="s">
        <v>1019</v>
      </c>
      <c r="D645" t="s">
        <v>1020</v>
      </c>
      <c r="E645" t="s">
        <v>1021</v>
      </c>
      <c r="F645" t="s">
        <v>28</v>
      </c>
      <c r="AG645" t="s">
        <v>639</v>
      </c>
      <c r="AH645" t="s">
        <v>640</v>
      </c>
      <c r="AI645" t="s">
        <v>353</v>
      </c>
      <c r="AJ645" t="s">
        <v>1021</v>
      </c>
      <c r="AK645" s="1">
        <v>-860</v>
      </c>
      <c r="AL645" s="1">
        <v>0</v>
      </c>
      <c r="AM645" s="1">
        <v>-860</v>
      </c>
      <c r="AN645" s="1">
        <v>-430</v>
      </c>
      <c r="AO645" s="1">
        <v>0</v>
      </c>
      <c r="AP645" s="1">
        <v>-430</v>
      </c>
      <c r="AQ645" s="1">
        <v>-430</v>
      </c>
      <c r="AR645" s="1">
        <v>0</v>
      </c>
      <c r="AS645" s="1">
        <v>-430</v>
      </c>
      <c r="AT645" s="1">
        <v>0</v>
      </c>
      <c r="BA645" s="195"/>
      <c r="BB645" s="195"/>
      <c r="BC645" s="195"/>
      <c r="BD645" s="195"/>
      <c r="BE645" s="195"/>
      <c r="BF645" s="195"/>
      <c r="BG645" s="195"/>
      <c r="BH645" s="195"/>
      <c r="BI645" s="195"/>
    </row>
    <row r="646" spans="1:61" x14ac:dyDescent="0.25">
      <c r="A646" t="s">
        <v>343</v>
      </c>
      <c r="B646" t="s">
        <v>344</v>
      </c>
      <c r="C646" t="s">
        <v>1019</v>
      </c>
      <c r="D646" t="s">
        <v>1020</v>
      </c>
      <c r="E646" t="s">
        <v>1021</v>
      </c>
      <c r="F646" t="s">
        <v>28</v>
      </c>
      <c r="AG646" t="s">
        <v>641</v>
      </c>
      <c r="AH646" t="s">
        <v>642</v>
      </c>
      <c r="AI646" t="s">
        <v>353</v>
      </c>
      <c r="AJ646" t="s">
        <v>1021</v>
      </c>
      <c r="AK646" s="1">
        <v>-78978.52</v>
      </c>
      <c r="AL646" s="1">
        <v>0</v>
      </c>
      <c r="AM646" s="1">
        <v>-78978.52</v>
      </c>
      <c r="AN646" s="1">
        <v>-39489.26</v>
      </c>
      <c r="AO646" s="1">
        <v>0</v>
      </c>
      <c r="AP646" s="1">
        <v>-39489.26</v>
      </c>
      <c r="AQ646" s="1">
        <v>-30584.35</v>
      </c>
      <c r="AR646" s="1">
        <v>0</v>
      </c>
      <c r="AS646" s="1">
        <v>-30584.35</v>
      </c>
      <c r="AT646" s="1">
        <v>0</v>
      </c>
      <c r="BA646" s="195"/>
      <c r="BB646" s="195"/>
      <c r="BC646" s="195"/>
      <c r="BD646" s="195"/>
      <c r="BE646" s="195"/>
      <c r="BF646" s="195"/>
      <c r="BG646" s="195"/>
      <c r="BH646" s="195"/>
      <c r="BI646" s="195"/>
    </row>
    <row r="647" spans="1:61" x14ac:dyDescent="0.25">
      <c r="A647" t="s">
        <v>343</v>
      </c>
      <c r="B647" t="s">
        <v>344</v>
      </c>
      <c r="C647" t="s">
        <v>1019</v>
      </c>
      <c r="D647" t="s">
        <v>1020</v>
      </c>
      <c r="E647" t="s">
        <v>1021</v>
      </c>
      <c r="F647" t="s">
        <v>28</v>
      </c>
      <c r="AG647" t="s">
        <v>643</v>
      </c>
      <c r="AH647" t="s">
        <v>644</v>
      </c>
      <c r="AI647" t="s">
        <v>353</v>
      </c>
      <c r="AJ647" t="s">
        <v>1021</v>
      </c>
      <c r="AK647" s="1">
        <v>-30688.1</v>
      </c>
      <c r="AL647" s="1">
        <v>0</v>
      </c>
      <c r="AM647" s="1">
        <v>-30688.1</v>
      </c>
      <c r="AN647" s="1">
        <v>-15344.05</v>
      </c>
      <c r="AO647" s="1">
        <v>0</v>
      </c>
      <c r="AP647" s="1">
        <v>-15344.05</v>
      </c>
      <c r="AQ647" s="1">
        <v>-16287.98</v>
      </c>
      <c r="AR647" s="1">
        <v>0</v>
      </c>
      <c r="AS647" s="1">
        <v>-16287.98</v>
      </c>
      <c r="AT647" s="1">
        <v>0</v>
      </c>
      <c r="BA647" s="195"/>
      <c r="BB647" s="195"/>
      <c r="BC647" s="195"/>
      <c r="BD647" s="195"/>
      <c r="BE647" s="195"/>
      <c r="BF647" s="195"/>
      <c r="BG647" s="195"/>
      <c r="BH647" s="195"/>
      <c r="BI647" s="195"/>
    </row>
    <row r="648" spans="1:61" x14ac:dyDescent="0.25">
      <c r="A648" t="s">
        <v>343</v>
      </c>
      <c r="B648" t="s">
        <v>344</v>
      </c>
      <c r="C648" t="s">
        <v>1019</v>
      </c>
      <c r="D648" t="s">
        <v>1020</v>
      </c>
      <c r="E648" t="s">
        <v>1021</v>
      </c>
      <c r="F648" t="s">
        <v>28</v>
      </c>
      <c r="AG648" t="s">
        <v>645</v>
      </c>
      <c r="AH648" t="s">
        <v>646</v>
      </c>
      <c r="AI648" t="s">
        <v>353</v>
      </c>
      <c r="AJ648" t="s">
        <v>1021</v>
      </c>
      <c r="AK648" s="1">
        <v>-38012.980000000003</v>
      </c>
      <c r="AL648" s="1">
        <v>0</v>
      </c>
      <c r="AM648" s="1">
        <v>-38012.980000000003</v>
      </c>
      <c r="AN648" s="1">
        <v>-19006.490000000002</v>
      </c>
      <c r="AO648" s="1">
        <v>0</v>
      </c>
      <c r="AP648" s="1">
        <v>-19006.490000000002</v>
      </c>
      <c r="AQ648" s="1">
        <v>-20268.87</v>
      </c>
      <c r="AR648" s="1">
        <v>0</v>
      </c>
      <c r="AS648" s="1">
        <v>-20268.87</v>
      </c>
      <c r="AT648" s="1">
        <v>0</v>
      </c>
      <c r="BA648" s="195"/>
      <c r="BB648" s="195"/>
      <c r="BC648" s="195"/>
      <c r="BD648" s="195"/>
      <c r="BE648" s="195"/>
      <c r="BF648" s="195"/>
      <c r="BG648" s="195"/>
      <c r="BH648" s="195"/>
      <c r="BI648" s="195"/>
    </row>
    <row r="649" spans="1:61" x14ac:dyDescent="0.25">
      <c r="A649" t="s">
        <v>343</v>
      </c>
      <c r="B649" t="s">
        <v>344</v>
      </c>
      <c r="C649" t="s">
        <v>1019</v>
      </c>
      <c r="D649" t="s">
        <v>1020</v>
      </c>
      <c r="E649" t="s">
        <v>1021</v>
      </c>
      <c r="F649" t="s">
        <v>28</v>
      </c>
      <c r="AG649" t="s">
        <v>647</v>
      </c>
      <c r="AH649" t="s">
        <v>648</v>
      </c>
      <c r="AI649" t="s">
        <v>353</v>
      </c>
      <c r="AJ649" t="s">
        <v>1021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-10.95</v>
      </c>
      <c r="AR649" s="1">
        <v>0</v>
      </c>
      <c r="AS649" s="1">
        <v>-10.95</v>
      </c>
      <c r="AT649" s="1">
        <v>0</v>
      </c>
      <c r="BA649" s="195"/>
      <c r="BB649" s="195"/>
      <c r="BC649" s="195"/>
      <c r="BD649" s="195"/>
      <c r="BE649" s="195"/>
      <c r="BF649" s="195"/>
      <c r="BG649" s="195"/>
      <c r="BH649" s="195"/>
      <c r="BI649" s="195"/>
    </row>
    <row r="650" spans="1:61" x14ac:dyDescent="0.25">
      <c r="A650" t="s">
        <v>343</v>
      </c>
      <c r="B650" t="s">
        <v>344</v>
      </c>
      <c r="C650" t="s">
        <v>1019</v>
      </c>
      <c r="D650" t="s">
        <v>1020</v>
      </c>
      <c r="E650" t="s">
        <v>1021</v>
      </c>
      <c r="F650" t="s">
        <v>28</v>
      </c>
      <c r="AG650" t="s">
        <v>649</v>
      </c>
      <c r="AH650" t="s">
        <v>648</v>
      </c>
      <c r="AI650" t="s">
        <v>353</v>
      </c>
      <c r="AJ650" t="s">
        <v>1021</v>
      </c>
      <c r="AK650" s="1">
        <v>-112582</v>
      </c>
      <c r="AL650" s="1">
        <v>0</v>
      </c>
      <c r="AM650" s="1">
        <v>-112582</v>
      </c>
      <c r="AN650" s="1">
        <v>-56291</v>
      </c>
      <c r="AO650" s="1">
        <v>0</v>
      </c>
      <c r="AP650" s="1">
        <v>-56291</v>
      </c>
      <c r="AQ650" s="1">
        <v>-60815</v>
      </c>
      <c r="AR650" s="1">
        <v>0</v>
      </c>
      <c r="AS650" s="1">
        <v>-60815</v>
      </c>
      <c r="AT650" s="1">
        <v>0</v>
      </c>
      <c r="BA650" s="195"/>
      <c r="BB650" s="195"/>
      <c r="BC650" s="195"/>
      <c r="BD650" s="195"/>
      <c r="BE650" s="195"/>
      <c r="BF650" s="195"/>
      <c r="BG650" s="195"/>
      <c r="BH650" s="195"/>
      <c r="BI650" s="195"/>
    </row>
    <row r="651" spans="1:61" x14ac:dyDescent="0.25">
      <c r="A651" t="s">
        <v>343</v>
      </c>
      <c r="B651" t="s">
        <v>344</v>
      </c>
      <c r="C651" t="s">
        <v>1019</v>
      </c>
      <c r="D651" t="s">
        <v>1020</v>
      </c>
      <c r="E651" t="s">
        <v>1021</v>
      </c>
      <c r="F651" t="s">
        <v>28</v>
      </c>
      <c r="AG651" t="s">
        <v>650</v>
      </c>
      <c r="AH651" t="s">
        <v>651</v>
      </c>
      <c r="AI651" t="s">
        <v>353</v>
      </c>
      <c r="AJ651" t="s">
        <v>1021</v>
      </c>
      <c r="AK651" s="1">
        <v>-876</v>
      </c>
      <c r="AL651" s="1">
        <v>0</v>
      </c>
      <c r="AM651" s="1">
        <v>-876</v>
      </c>
      <c r="AN651" s="1">
        <v>-438</v>
      </c>
      <c r="AO651" s="1">
        <v>0</v>
      </c>
      <c r="AP651" s="1">
        <v>-438</v>
      </c>
      <c r="AQ651" s="1">
        <v>0</v>
      </c>
      <c r="AR651" s="1">
        <v>0</v>
      </c>
      <c r="AS651" s="1">
        <v>0</v>
      </c>
      <c r="AT651" s="1">
        <v>0</v>
      </c>
      <c r="BA651" s="195"/>
      <c r="BB651" s="195"/>
      <c r="BC651" s="195"/>
      <c r="BD651" s="195"/>
      <c r="BE651" s="195"/>
      <c r="BF651" s="195"/>
      <c r="BG651" s="195"/>
      <c r="BH651" s="195"/>
      <c r="BI651" s="195"/>
    </row>
    <row r="652" spans="1:61" x14ac:dyDescent="0.25">
      <c r="A652" t="s">
        <v>343</v>
      </c>
      <c r="B652" t="s">
        <v>344</v>
      </c>
      <c r="C652" t="s">
        <v>1019</v>
      </c>
      <c r="D652" t="s">
        <v>1020</v>
      </c>
      <c r="E652" t="s">
        <v>1021</v>
      </c>
      <c r="F652" t="s">
        <v>28</v>
      </c>
      <c r="AG652" t="s">
        <v>652</v>
      </c>
      <c r="AH652" t="s">
        <v>653</v>
      </c>
      <c r="AI652" t="s">
        <v>353</v>
      </c>
      <c r="AJ652" t="s">
        <v>1021</v>
      </c>
      <c r="AK652" s="1">
        <v>-892</v>
      </c>
      <c r="AL652" s="1">
        <v>0</v>
      </c>
      <c r="AM652" s="1">
        <v>-892</v>
      </c>
      <c r="AN652" s="1">
        <v>-446</v>
      </c>
      <c r="AO652" s="1">
        <v>0</v>
      </c>
      <c r="AP652" s="1">
        <v>-446</v>
      </c>
      <c r="AQ652" s="1">
        <v>-629</v>
      </c>
      <c r="AR652" s="1">
        <v>0</v>
      </c>
      <c r="AS652" s="1">
        <v>-629</v>
      </c>
      <c r="AT652" s="1">
        <v>0</v>
      </c>
      <c r="BA652" s="195"/>
      <c r="BB652" s="195"/>
      <c r="BC652" s="195"/>
      <c r="BD652" s="195"/>
      <c r="BE652" s="195"/>
      <c r="BF652" s="195"/>
      <c r="BG652" s="195"/>
      <c r="BH652" s="195"/>
      <c r="BI652" s="195"/>
    </row>
    <row r="653" spans="1:61" x14ac:dyDescent="0.25">
      <c r="A653" t="s">
        <v>343</v>
      </c>
      <c r="B653" t="s">
        <v>344</v>
      </c>
      <c r="C653" t="s">
        <v>1019</v>
      </c>
      <c r="D653" t="s">
        <v>1020</v>
      </c>
      <c r="E653" t="s">
        <v>1021</v>
      </c>
      <c r="F653" t="s">
        <v>28</v>
      </c>
      <c r="AG653" t="s">
        <v>654</v>
      </c>
      <c r="AH653" t="s">
        <v>655</v>
      </c>
      <c r="AI653" t="s">
        <v>353</v>
      </c>
      <c r="AJ653" t="s">
        <v>1021</v>
      </c>
      <c r="AK653" s="1">
        <v>-8924.64</v>
      </c>
      <c r="AL653" s="1">
        <v>0</v>
      </c>
      <c r="AM653" s="1">
        <v>-8924.64</v>
      </c>
      <c r="AN653" s="1">
        <v>-4462.32</v>
      </c>
      <c r="AO653" s="1">
        <v>0</v>
      </c>
      <c r="AP653" s="1">
        <v>-4462.32</v>
      </c>
      <c r="AQ653" s="1">
        <v>-6859.94</v>
      </c>
      <c r="AR653" s="1">
        <v>0</v>
      </c>
      <c r="AS653" s="1">
        <v>-6859.94</v>
      </c>
      <c r="AT653" s="1">
        <v>0</v>
      </c>
      <c r="BA653" s="195"/>
      <c r="BB653" s="195"/>
      <c r="BC653" s="195"/>
      <c r="BD653" s="195"/>
      <c r="BE653" s="195"/>
      <c r="BF653" s="195"/>
      <c r="BG653" s="195"/>
      <c r="BH653" s="195"/>
      <c r="BI653" s="195"/>
    </row>
    <row r="654" spans="1:61" x14ac:dyDescent="0.25">
      <c r="A654" t="s">
        <v>343</v>
      </c>
      <c r="B654" t="s">
        <v>344</v>
      </c>
      <c r="C654" t="s">
        <v>1019</v>
      </c>
      <c r="D654" t="s">
        <v>1020</v>
      </c>
      <c r="E654" t="s">
        <v>1021</v>
      </c>
      <c r="F654" t="s">
        <v>28</v>
      </c>
      <c r="AG654" t="s">
        <v>656</v>
      </c>
      <c r="AH654" t="s">
        <v>657</v>
      </c>
      <c r="AI654" t="s">
        <v>353</v>
      </c>
      <c r="AJ654" t="s">
        <v>1021</v>
      </c>
      <c r="AK654" s="1">
        <v>-30824</v>
      </c>
      <c r="AL654" s="1">
        <v>0</v>
      </c>
      <c r="AM654" s="1">
        <v>-30824</v>
      </c>
      <c r="AN654" s="1">
        <v>-15412</v>
      </c>
      <c r="AO654" s="1">
        <v>0</v>
      </c>
      <c r="AP654" s="1">
        <v>-15412</v>
      </c>
      <c r="AQ654" s="1">
        <v>-16741.900000000001</v>
      </c>
      <c r="AR654" s="1">
        <v>0</v>
      </c>
      <c r="AS654" s="1">
        <v>-16741.900000000001</v>
      </c>
      <c r="AT654" s="1">
        <v>0</v>
      </c>
      <c r="BA654" s="195"/>
      <c r="BB654" s="195"/>
      <c r="BC654" s="195"/>
      <c r="BD654" s="195"/>
      <c r="BE654" s="195"/>
      <c r="BF654" s="195"/>
      <c r="BG654" s="195"/>
      <c r="BH654" s="195"/>
      <c r="BI654" s="195"/>
    </row>
    <row r="655" spans="1:61" x14ac:dyDescent="0.25">
      <c r="A655" t="s">
        <v>343</v>
      </c>
      <c r="B655" t="s">
        <v>344</v>
      </c>
      <c r="C655" t="s">
        <v>1019</v>
      </c>
      <c r="D655" t="s">
        <v>1020</v>
      </c>
      <c r="E655" t="s">
        <v>1021</v>
      </c>
      <c r="F655" t="s">
        <v>28</v>
      </c>
      <c r="AG655" t="s">
        <v>658</v>
      </c>
      <c r="AH655" t="s">
        <v>659</v>
      </c>
      <c r="AI655" t="s">
        <v>353</v>
      </c>
      <c r="AJ655" t="s">
        <v>1021</v>
      </c>
      <c r="AK655" s="1">
        <v>-25170</v>
      </c>
      <c r="AL655" s="1">
        <v>0</v>
      </c>
      <c r="AM655" s="1">
        <v>-25170</v>
      </c>
      <c r="AN655" s="1">
        <v>-12585</v>
      </c>
      <c r="AO655" s="1">
        <v>0</v>
      </c>
      <c r="AP655" s="1">
        <v>-12585</v>
      </c>
      <c r="AQ655" s="1">
        <v>-10245</v>
      </c>
      <c r="AR655" s="1">
        <v>0</v>
      </c>
      <c r="AS655" s="1">
        <v>-10245</v>
      </c>
      <c r="AT655" s="1">
        <v>0</v>
      </c>
      <c r="BA655" s="195"/>
      <c r="BB655" s="195"/>
      <c r="BC655" s="195"/>
      <c r="BD655" s="195"/>
      <c r="BE655" s="195"/>
      <c r="BF655" s="195"/>
      <c r="BG655" s="195"/>
      <c r="BH655" s="195"/>
      <c r="BI655" s="195"/>
    </row>
    <row r="656" spans="1:61" x14ac:dyDescent="0.25">
      <c r="A656" t="s">
        <v>343</v>
      </c>
      <c r="B656" t="s">
        <v>344</v>
      </c>
      <c r="C656" t="s">
        <v>1019</v>
      </c>
      <c r="D656" t="s">
        <v>1020</v>
      </c>
      <c r="E656" t="s">
        <v>1021</v>
      </c>
      <c r="F656" t="s">
        <v>28</v>
      </c>
      <c r="AG656" t="s">
        <v>660</v>
      </c>
      <c r="AH656" t="s">
        <v>661</v>
      </c>
      <c r="AI656" t="s">
        <v>353</v>
      </c>
      <c r="AJ656" t="s">
        <v>1021</v>
      </c>
      <c r="AK656" s="1">
        <v>-6150621.6200000001</v>
      </c>
      <c r="AL656" s="1">
        <v>0</v>
      </c>
      <c r="AM656" s="1">
        <v>-6150621.6200000001</v>
      </c>
      <c r="AN656" s="1">
        <v>-3075310.81</v>
      </c>
      <c r="AO656" s="1">
        <v>0</v>
      </c>
      <c r="AP656" s="1">
        <v>-3075310.81</v>
      </c>
      <c r="AQ656" s="1">
        <v>-3273091.66</v>
      </c>
      <c r="AR656" s="1">
        <v>0</v>
      </c>
      <c r="AS656" s="1">
        <v>-3273091.66</v>
      </c>
      <c r="AT656" s="1">
        <v>0</v>
      </c>
      <c r="BA656" s="195"/>
      <c r="BB656" s="195"/>
      <c r="BC656" s="195"/>
      <c r="BD656" s="195"/>
      <c r="BE656" s="195"/>
      <c r="BF656" s="195"/>
      <c r="BG656" s="195"/>
      <c r="BH656" s="195"/>
      <c r="BI656" s="195"/>
    </row>
    <row r="657" spans="1:61" x14ac:dyDescent="0.25">
      <c r="A657" t="s">
        <v>343</v>
      </c>
      <c r="B657" t="s">
        <v>344</v>
      </c>
      <c r="C657" t="s">
        <v>1019</v>
      </c>
      <c r="D657" t="s">
        <v>1020</v>
      </c>
      <c r="E657" t="s">
        <v>1021</v>
      </c>
      <c r="F657" t="s">
        <v>28</v>
      </c>
      <c r="AG657" t="s">
        <v>662</v>
      </c>
      <c r="AH657" t="s">
        <v>663</v>
      </c>
      <c r="AI657" t="s">
        <v>353</v>
      </c>
      <c r="AJ657" t="s">
        <v>1021</v>
      </c>
      <c r="AK657" s="1">
        <v>-136698.82</v>
      </c>
      <c r="AL657" s="1">
        <v>0</v>
      </c>
      <c r="AM657" s="1">
        <v>-136698.82</v>
      </c>
      <c r="AN657" s="1">
        <v>-68349.41</v>
      </c>
      <c r="AO657" s="1">
        <v>0</v>
      </c>
      <c r="AP657" s="1">
        <v>-68349.41</v>
      </c>
      <c r="AQ657" s="1">
        <v>-110238.54</v>
      </c>
      <c r="AR657" s="1">
        <v>0</v>
      </c>
      <c r="AS657" s="1">
        <v>-110238.54</v>
      </c>
      <c r="AT657" s="1">
        <v>0</v>
      </c>
      <c r="BA657" s="195"/>
      <c r="BB657" s="195"/>
      <c r="BC657" s="195"/>
      <c r="BD657" s="195"/>
      <c r="BE657" s="195"/>
      <c r="BF657" s="195"/>
      <c r="BG657" s="195"/>
      <c r="BH657" s="195"/>
      <c r="BI657" s="195"/>
    </row>
    <row r="658" spans="1:61" x14ac:dyDescent="0.25">
      <c r="A658" t="s">
        <v>343</v>
      </c>
      <c r="B658" t="s">
        <v>344</v>
      </c>
      <c r="C658" t="s">
        <v>1019</v>
      </c>
      <c r="D658" t="s">
        <v>1020</v>
      </c>
      <c r="E658" t="s">
        <v>1021</v>
      </c>
      <c r="F658" t="s">
        <v>28</v>
      </c>
      <c r="AG658" t="s">
        <v>664</v>
      </c>
      <c r="AH658" t="s">
        <v>665</v>
      </c>
      <c r="AI658" t="s">
        <v>353</v>
      </c>
      <c r="AJ658" t="s">
        <v>1021</v>
      </c>
      <c r="AK658" s="1">
        <v>-632055.74</v>
      </c>
      <c r="AL658" s="1">
        <v>0</v>
      </c>
      <c r="AM658" s="1">
        <v>-632055.74</v>
      </c>
      <c r="AN658" s="1">
        <v>-316027.87</v>
      </c>
      <c r="AO658" s="1">
        <v>0</v>
      </c>
      <c r="AP658" s="1">
        <v>-316027.87</v>
      </c>
      <c r="AQ658" s="1">
        <v>-271959</v>
      </c>
      <c r="AR658" s="1">
        <v>0</v>
      </c>
      <c r="AS658" s="1">
        <v>-271959</v>
      </c>
      <c r="AT658" s="1">
        <v>0</v>
      </c>
      <c r="BA658" s="195"/>
      <c r="BB658" s="195"/>
      <c r="BC658" s="195"/>
      <c r="BD658" s="195"/>
      <c r="BE658" s="195"/>
      <c r="BF658" s="195"/>
      <c r="BG658" s="195"/>
      <c r="BH658" s="195"/>
      <c r="BI658" s="195"/>
    </row>
    <row r="659" spans="1:61" x14ac:dyDescent="0.25">
      <c r="A659" t="s">
        <v>343</v>
      </c>
      <c r="B659" t="s">
        <v>344</v>
      </c>
      <c r="C659" t="s">
        <v>1019</v>
      </c>
      <c r="D659" t="s">
        <v>1020</v>
      </c>
      <c r="E659" t="s">
        <v>1021</v>
      </c>
      <c r="F659" t="s">
        <v>28</v>
      </c>
      <c r="AG659" t="s">
        <v>666</v>
      </c>
      <c r="AH659" t="s">
        <v>667</v>
      </c>
      <c r="AI659" t="s">
        <v>353</v>
      </c>
      <c r="AJ659" t="s">
        <v>1021</v>
      </c>
      <c r="AK659" s="1">
        <v>1582.9</v>
      </c>
      <c r="AL659" s="1">
        <v>0</v>
      </c>
      <c r="AM659" s="1">
        <v>1582.9</v>
      </c>
      <c r="AN659" s="1">
        <v>791.45</v>
      </c>
      <c r="AO659" s="1">
        <v>0</v>
      </c>
      <c r="AP659" s="1">
        <v>791.45</v>
      </c>
      <c r="AQ659" s="1">
        <v>2192.36</v>
      </c>
      <c r="AR659" s="1">
        <v>0</v>
      </c>
      <c r="AS659" s="1">
        <v>2192.36</v>
      </c>
      <c r="AT659" s="1">
        <v>0</v>
      </c>
      <c r="BA659" s="195"/>
      <c r="BB659" s="195"/>
      <c r="BC659" s="195"/>
      <c r="BD659" s="195"/>
      <c r="BE659" s="195"/>
      <c r="BF659" s="195"/>
      <c r="BG659" s="195"/>
      <c r="BH659" s="195"/>
      <c r="BI659" s="195"/>
    </row>
    <row r="660" spans="1:61" x14ac:dyDescent="0.25">
      <c r="A660" t="s">
        <v>343</v>
      </c>
      <c r="B660" t="s">
        <v>344</v>
      </c>
      <c r="C660" t="s">
        <v>1019</v>
      </c>
      <c r="D660" t="s">
        <v>1020</v>
      </c>
      <c r="E660" t="s">
        <v>1021</v>
      </c>
      <c r="F660" t="s">
        <v>28</v>
      </c>
      <c r="AG660" t="s">
        <v>668</v>
      </c>
      <c r="AH660" t="s">
        <v>669</v>
      </c>
      <c r="AI660" t="s">
        <v>353</v>
      </c>
      <c r="AJ660" t="s">
        <v>1021</v>
      </c>
      <c r="AK660" s="1">
        <v>-16080.26</v>
      </c>
      <c r="AL660" s="1">
        <v>0</v>
      </c>
      <c r="AM660" s="1">
        <v>-16080.26</v>
      </c>
      <c r="AN660" s="1">
        <v>-8040.13</v>
      </c>
      <c r="AO660" s="1">
        <v>0</v>
      </c>
      <c r="AP660" s="1">
        <v>-8040.13</v>
      </c>
      <c r="AQ660" s="1">
        <v>-61300</v>
      </c>
      <c r="AR660" s="1">
        <v>0</v>
      </c>
      <c r="AS660" s="1">
        <v>-61300</v>
      </c>
      <c r="AT660" s="1">
        <v>0</v>
      </c>
      <c r="BA660" s="195"/>
      <c r="BB660" s="195"/>
      <c r="BC660" s="195"/>
      <c r="BD660" s="195"/>
      <c r="BE660" s="195"/>
      <c r="BF660" s="195"/>
      <c r="BG660" s="195"/>
      <c r="BH660" s="195"/>
      <c r="BI660" s="195"/>
    </row>
    <row r="661" spans="1:61" x14ac:dyDescent="0.25">
      <c r="A661" t="s">
        <v>343</v>
      </c>
      <c r="B661" t="s">
        <v>344</v>
      </c>
      <c r="C661" t="s">
        <v>1019</v>
      </c>
      <c r="D661" t="s">
        <v>1020</v>
      </c>
      <c r="E661" t="s">
        <v>1021</v>
      </c>
      <c r="F661" t="s">
        <v>28</v>
      </c>
      <c r="AG661" t="s">
        <v>670</v>
      </c>
      <c r="AH661" t="s">
        <v>671</v>
      </c>
      <c r="AI661" t="s">
        <v>353</v>
      </c>
      <c r="AJ661" t="s">
        <v>1021</v>
      </c>
      <c r="AK661" s="1">
        <v>-94000</v>
      </c>
      <c r="AL661" s="1">
        <v>0</v>
      </c>
      <c r="AM661" s="1">
        <v>-94000</v>
      </c>
      <c r="AN661" s="1">
        <v>-47000</v>
      </c>
      <c r="AO661" s="1">
        <v>0</v>
      </c>
      <c r="AP661" s="1">
        <v>-47000</v>
      </c>
      <c r="AQ661" s="1">
        <v>-71600</v>
      </c>
      <c r="AR661" s="1">
        <v>0</v>
      </c>
      <c r="AS661" s="1">
        <v>-71600</v>
      </c>
      <c r="AT661" s="1">
        <v>0</v>
      </c>
      <c r="BA661" s="195"/>
      <c r="BB661" s="195"/>
      <c r="BC661" s="195"/>
      <c r="BD661" s="195"/>
      <c r="BE661" s="195"/>
      <c r="BF661" s="195"/>
      <c r="BG661" s="195"/>
      <c r="BH661" s="195"/>
      <c r="BI661" s="195"/>
    </row>
    <row r="662" spans="1:61" x14ac:dyDescent="0.25">
      <c r="A662" t="s">
        <v>343</v>
      </c>
      <c r="B662" t="s">
        <v>344</v>
      </c>
      <c r="C662" t="s">
        <v>1019</v>
      </c>
      <c r="D662" t="s">
        <v>1020</v>
      </c>
      <c r="E662" t="s">
        <v>1021</v>
      </c>
      <c r="F662" t="s">
        <v>28</v>
      </c>
      <c r="AG662" t="s">
        <v>672</v>
      </c>
      <c r="AH662" t="s">
        <v>673</v>
      </c>
      <c r="AI662" t="s">
        <v>353</v>
      </c>
      <c r="AJ662" t="s">
        <v>1021</v>
      </c>
      <c r="AK662" s="1">
        <v>-984434.12</v>
      </c>
      <c r="AL662" s="1">
        <v>0</v>
      </c>
      <c r="AM662" s="1">
        <v>-984434.12</v>
      </c>
      <c r="AN662" s="1">
        <v>-492217.06</v>
      </c>
      <c r="AO662" s="1">
        <v>0</v>
      </c>
      <c r="AP662" s="1">
        <v>-492217.06</v>
      </c>
      <c r="AQ662" s="1">
        <v>-478729.65</v>
      </c>
      <c r="AR662" s="1">
        <v>0</v>
      </c>
      <c r="AS662" s="1">
        <v>-478729.65</v>
      </c>
      <c r="AT662" s="1">
        <v>0</v>
      </c>
      <c r="BA662" s="195"/>
      <c r="BB662" s="195"/>
      <c r="BC662" s="195"/>
      <c r="BD662" s="195"/>
      <c r="BE662" s="195"/>
      <c r="BF662" s="195"/>
      <c r="BG662" s="195"/>
      <c r="BH662" s="195"/>
      <c r="BI662" s="195"/>
    </row>
    <row r="663" spans="1:61" x14ac:dyDescent="0.25">
      <c r="A663" t="s">
        <v>343</v>
      </c>
      <c r="B663" t="s">
        <v>344</v>
      </c>
      <c r="C663" t="s">
        <v>1019</v>
      </c>
      <c r="D663" t="s">
        <v>1020</v>
      </c>
      <c r="E663" t="s">
        <v>1021</v>
      </c>
      <c r="F663" t="s">
        <v>28</v>
      </c>
      <c r="AG663" t="s">
        <v>674</v>
      </c>
      <c r="AH663" t="s">
        <v>675</v>
      </c>
      <c r="AI663" t="s">
        <v>353</v>
      </c>
      <c r="AJ663" t="s">
        <v>1021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v>0</v>
      </c>
      <c r="AQ663" s="1">
        <v>-5522</v>
      </c>
      <c r="AR663" s="1">
        <v>0</v>
      </c>
      <c r="AS663" s="1">
        <v>-5522</v>
      </c>
      <c r="AT663" s="1">
        <v>0</v>
      </c>
      <c r="BA663" s="195"/>
      <c r="BB663" s="195"/>
      <c r="BC663" s="195"/>
      <c r="BD663" s="195"/>
      <c r="BE663" s="195"/>
      <c r="BF663" s="195"/>
      <c r="BG663" s="195"/>
      <c r="BH663" s="195"/>
      <c r="BI663" s="195"/>
    </row>
    <row r="664" spans="1:61" x14ac:dyDescent="0.25">
      <c r="A664" t="s">
        <v>343</v>
      </c>
      <c r="B664" t="s">
        <v>344</v>
      </c>
      <c r="C664" t="s">
        <v>1019</v>
      </c>
      <c r="D664" t="s">
        <v>1020</v>
      </c>
      <c r="E664" t="s">
        <v>1021</v>
      </c>
      <c r="F664" t="s">
        <v>28</v>
      </c>
      <c r="AG664" t="s">
        <v>676</v>
      </c>
      <c r="AH664" t="s">
        <v>677</v>
      </c>
      <c r="AI664" t="s">
        <v>353</v>
      </c>
      <c r="AJ664" t="s">
        <v>1021</v>
      </c>
      <c r="AK664" s="1">
        <v>-915280.52</v>
      </c>
      <c r="AL664" s="1">
        <v>0</v>
      </c>
      <c r="AM664" s="1">
        <v>-915280.52</v>
      </c>
      <c r="AN664" s="1">
        <v>-457640.26</v>
      </c>
      <c r="AO664" s="1">
        <v>0</v>
      </c>
      <c r="AP664" s="1">
        <v>-457640.26</v>
      </c>
      <c r="AQ664" s="1">
        <v>-521385.41</v>
      </c>
      <c r="AR664" s="1">
        <v>0</v>
      </c>
      <c r="AS664" s="1">
        <v>-521385.41</v>
      </c>
      <c r="AT664" s="1">
        <v>0</v>
      </c>
      <c r="BA664" s="195"/>
      <c r="BB664" s="195"/>
      <c r="BC664" s="195"/>
      <c r="BD664" s="195"/>
      <c r="BE664" s="195"/>
      <c r="BF664" s="195"/>
      <c r="BG664" s="195"/>
      <c r="BH664" s="195"/>
      <c r="BI664" s="195"/>
    </row>
    <row r="665" spans="1:61" x14ac:dyDescent="0.25">
      <c r="A665" t="s">
        <v>343</v>
      </c>
      <c r="B665" t="s">
        <v>344</v>
      </c>
      <c r="C665" t="s">
        <v>1019</v>
      </c>
      <c r="D665" t="s">
        <v>1020</v>
      </c>
      <c r="E665" t="s">
        <v>1021</v>
      </c>
      <c r="F665" t="s">
        <v>28</v>
      </c>
      <c r="AG665" t="s">
        <v>678</v>
      </c>
      <c r="AH665" t="s">
        <v>679</v>
      </c>
      <c r="AI665" t="s">
        <v>353</v>
      </c>
      <c r="AJ665" t="s">
        <v>1021</v>
      </c>
      <c r="AK665" s="1">
        <v>696.5</v>
      </c>
      <c r="AL665" s="1">
        <v>0</v>
      </c>
      <c r="AM665" s="1">
        <v>696.5</v>
      </c>
      <c r="AN665" s="1">
        <v>348.25</v>
      </c>
      <c r="AO665" s="1">
        <v>0</v>
      </c>
      <c r="AP665" s="1">
        <v>348.25</v>
      </c>
      <c r="AQ665" s="1">
        <v>964.59</v>
      </c>
      <c r="AR665" s="1">
        <v>0</v>
      </c>
      <c r="AS665" s="1">
        <v>964.59</v>
      </c>
      <c r="AT665" s="1">
        <v>0</v>
      </c>
      <c r="BA665" s="195"/>
      <c r="BB665" s="195"/>
      <c r="BC665" s="195"/>
      <c r="BD665" s="195"/>
      <c r="BE665" s="195"/>
      <c r="BF665" s="195"/>
      <c r="BG665" s="195"/>
      <c r="BH665" s="195"/>
      <c r="BI665" s="195"/>
    </row>
    <row r="666" spans="1:61" x14ac:dyDescent="0.25">
      <c r="A666" t="s">
        <v>343</v>
      </c>
      <c r="B666" t="s">
        <v>344</v>
      </c>
      <c r="C666" t="s">
        <v>1019</v>
      </c>
      <c r="D666" t="s">
        <v>1020</v>
      </c>
      <c r="E666" t="s">
        <v>1021</v>
      </c>
      <c r="F666" t="s">
        <v>28</v>
      </c>
      <c r="AG666" t="s">
        <v>680</v>
      </c>
      <c r="AH666" t="s">
        <v>681</v>
      </c>
      <c r="AI666" t="s">
        <v>353</v>
      </c>
      <c r="AJ666" t="s">
        <v>1021</v>
      </c>
      <c r="AK666" s="1">
        <v>-318413.86</v>
      </c>
      <c r="AL666" s="1">
        <v>0</v>
      </c>
      <c r="AM666" s="1">
        <v>-318413.86</v>
      </c>
      <c r="AN666" s="1">
        <v>-159206.93</v>
      </c>
      <c r="AO666" s="1">
        <v>0</v>
      </c>
      <c r="AP666" s="1">
        <v>-159206.93</v>
      </c>
      <c r="AQ666" s="1">
        <v>-164739.63</v>
      </c>
      <c r="AR666" s="1">
        <v>0</v>
      </c>
      <c r="AS666" s="1">
        <v>-164739.63</v>
      </c>
      <c r="AT666" s="1">
        <v>0</v>
      </c>
      <c r="BA666" s="195"/>
      <c r="BB666" s="195"/>
      <c r="BC666" s="195"/>
      <c r="BD666" s="195"/>
      <c r="BE666" s="195"/>
      <c r="BF666" s="195"/>
      <c r="BG666" s="195"/>
      <c r="BH666" s="195"/>
      <c r="BI666" s="195"/>
    </row>
    <row r="667" spans="1:61" x14ac:dyDescent="0.25">
      <c r="A667" t="s">
        <v>343</v>
      </c>
      <c r="B667" t="s">
        <v>344</v>
      </c>
      <c r="C667" t="s">
        <v>1019</v>
      </c>
      <c r="D667" t="s">
        <v>1020</v>
      </c>
      <c r="E667" t="s">
        <v>1021</v>
      </c>
      <c r="F667" t="s">
        <v>28</v>
      </c>
      <c r="AG667" t="s">
        <v>682</v>
      </c>
      <c r="AH667" t="s">
        <v>683</v>
      </c>
      <c r="AI667" t="s">
        <v>353</v>
      </c>
      <c r="AJ667" t="s">
        <v>1021</v>
      </c>
      <c r="AK667" s="1">
        <v>-227233.36</v>
      </c>
      <c r="AL667" s="1">
        <v>0</v>
      </c>
      <c r="AM667" s="1">
        <v>-227233.36</v>
      </c>
      <c r="AN667" s="1">
        <v>-113616.68</v>
      </c>
      <c r="AO667" s="1">
        <v>0</v>
      </c>
      <c r="AP667" s="1">
        <v>-113616.68</v>
      </c>
      <c r="AQ667" s="1">
        <v>-118049.99</v>
      </c>
      <c r="AR667" s="1">
        <v>0</v>
      </c>
      <c r="AS667" s="1">
        <v>-118049.99</v>
      </c>
      <c r="AT667" s="1">
        <v>0</v>
      </c>
      <c r="BA667" s="195"/>
      <c r="BB667" s="195"/>
      <c r="BC667" s="195"/>
      <c r="BD667" s="195"/>
      <c r="BE667" s="195"/>
      <c r="BF667" s="195"/>
      <c r="BG667" s="195"/>
      <c r="BH667" s="195"/>
      <c r="BI667" s="195"/>
    </row>
    <row r="668" spans="1:61" x14ac:dyDescent="0.25">
      <c r="A668" t="s">
        <v>343</v>
      </c>
      <c r="B668" t="s">
        <v>344</v>
      </c>
      <c r="C668" t="s">
        <v>1019</v>
      </c>
      <c r="D668" t="s">
        <v>1020</v>
      </c>
      <c r="E668" t="s">
        <v>1021</v>
      </c>
      <c r="F668" t="s">
        <v>28</v>
      </c>
      <c r="AG668" t="s">
        <v>684</v>
      </c>
      <c r="AH668" t="s">
        <v>685</v>
      </c>
      <c r="AI668" t="s">
        <v>353</v>
      </c>
      <c r="AJ668" t="s">
        <v>1021</v>
      </c>
      <c r="AK668" s="1">
        <v>-71602.039999999994</v>
      </c>
      <c r="AL668" s="1">
        <v>0</v>
      </c>
      <c r="AM668" s="1">
        <v>-71602.039999999994</v>
      </c>
      <c r="AN668" s="1">
        <v>-35801.019999999997</v>
      </c>
      <c r="AO668" s="1">
        <v>0</v>
      </c>
      <c r="AP668" s="1">
        <v>-35801.019999999997</v>
      </c>
      <c r="AQ668" s="1">
        <v>-36793.81</v>
      </c>
      <c r="AR668" s="1">
        <v>0</v>
      </c>
      <c r="AS668" s="1">
        <v>-36793.81</v>
      </c>
      <c r="AT668" s="1">
        <v>0</v>
      </c>
      <c r="BA668" s="195"/>
      <c r="BB668" s="195"/>
      <c r="BC668" s="195"/>
      <c r="BD668" s="195"/>
      <c r="BE668" s="195"/>
      <c r="BF668" s="195"/>
      <c r="BG668" s="195"/>
      <c r="BH668" s="195"/>
      <c r="BI668" s="195"/>
    </row>
    <row r="669" spans="1:61" x14ac:dyDescent="0.25">
      <c r="A669" t="s">
        <v>343</v>
      </c>
      <c r="B669" t="s">
        <v>344</v>
      </c>
      <c r="C669" t="s">
        <v>1019</v>
      </c>
      <c r="D669" t="s">
        <v>1020</v>
      </c>
      <c r="E669" t="s">
        <v>1021</v>
      </c>
      <c r="F669" t="s">
        <v>28</v>
      </c>
      <c r="AG669" t="s">
        <v>686</v>
      </c>
      <c r="AH669" t="s">
        <v>687</v>
      </c>
      <c r="AI669" t="s">
        <v>353</v>
      </c>
      <c r="AJ669" t="s">
        <v>1021</v>
      </c>
      <c r="AK669" s="1">
        <v>-80355.66</v>
      </c>
      <c r="AL669" s="1">
        <v>0</v>
      </c>
      <c r="AM669" s="1">
        <v>-80355.66</v>
      </c>
      <c r="AN669" s="1">
        <v>-40177.83</v>
      </c>
      <c r="AO669" s="1">
        <v>0</v>
      </c>
      <c r="AP669" s="1">
        <v>-40177.83</v>
      </c>
      <c r="AQ669" s="1">
        <v>-38975.730000000003</v>
      </c>
      <c r="AR669" s="1">
        <v>0</v>
      </c>
      <c r="AS669" s="1">
        <v>-38975.730000000003</v>
      </c>
      <c r="AT669" s="1">
        <v>0</v>
      </c>
      <c r="BA669" s="195"/>
      <c r="BB669" s="195"/>
      <c r="BC669" s="195"/>
      <c r="BD669" s="195"/>
      <c r="BE669" s="195"/>
      <c r="BF669" s="195"/>
      <c r="BG669" s="195"/>
      <c r="BH669" s="195"/>
      <c r="BI669" s="195"/>
    </row>
    <row r="670" spans="1:61" x14ac:dyDescent="0.25">
      <c r="A670" t="s">
        <v>343</v>
      </c>
      <c r="B670" t="s">
        <v>344</v>
      </c>
      <c r="C670" t="s">
        <v>1019</v>
      </c>
      <c r="D670" t="s">
        <v>1020</v>
      </c>
      <c r="E670" t="s">
        <v>1021</v>
      </c>
      <c r="F670" t="s">
        <v>28</v>
      </c>
      <c r="AG670" t="s">
        <v>688</v>
      </c>
      <c r="AH670" t="s">
        <v>689</v>
      </c>
      <c r="AI670" t="s">
        <v>353</v>
      </c>
      <c r="AJ670" t="s">
        <v>1021</v>
      </c>
      <c r="AK670" s="1">
        <v>-297952.96000000002</v>
      </c>
      <c r="AL670" s="1">
        <v>0</v>
      </c>
      <c r="AM670" s="1">
        <v>-297952.96000000002</v>
      </c>
      <c r="AN670" s="1">
        <v>-148976.48000000001</v>
      </c>
      <c r="AO670" s="1">
        <v>0</v>
      </c>
      <c r="AP670" s="1">
        <v>-148976.48000000001</v>
      </c>
      <c r="AQ670" s="1">
        <v>-155107.07</v>
      </c>
      <c r="AR670" s="1">
        <v>0</v>
      </c>
      <c r="AS670" s="1">
        <v>-155107.07</v>
      </c>
      <c r="AT670" s="1">
        <v>0</v>
      </c>
      <c r="BA670" s="195"/>
      <c r="BB670" s="195"/>
      <c r="BC670" s="195"/>
      <c r="BD670" s="195"/>
      <c r="BE670" s="195"/>
      <c r="BF670" s="195"/>
      <c r="BG670" s="195"/>
      <c r="BH670" s="195"/>
      <c r="BI670" s="195"/>
    </row>
    <row r="671" spans="1:61" x14ac:dyDescent="0.25">
      <c r="A671" t="s">
        <v>343</v>
      </c>
      <c r="B671" t="s">
        <v>344</v>
      </c>
      <c r="C671" t="s">
        <v>1019</v>
      </c>
      <c r="D671" t="s">
        <v>1020</v>
      </c>
      <c r="E671" t="s">
        <v>1021</v>
      </c>
      <c r="F671" t="s">
        <v>28</v>
      </c>
      <c r="AG671" t="s">
        <v>690</v>
      </c>
      <c r="AH671" t="s">
        <v>691</v>
      </c>
      <c r="AI671" t="s">
        <v>353</v>
      </c>
      <c r="AJ671" t="s">
        <v>1021</v>
      </c>
      <c r="AK671" s="1">
        <v>-52927.32</v>
      </c>
      <c r="AL671" s="1">
        <v>0</v>
      </c>
      <c r="AM671" s="1">
        <v>-52927.32</v>
      </c>
      <c r="AN671" s="1">
        <v>-26463.66</v>
      </c>
      <c r="AO671" s="1">
        <v>0</v>
      </c>
      <c r="AP671" s="1">
        <v>-26463.66</v>
      </c>
      <c r="AQ671" s="1">
        <v>-19888.68</v>
      </c>
      <c r="AR671" s="1">
        <v>0</v>
      </c>
      <c r="AS671" s="1">
        <v>-19888.68</v>
      </c>
      <c r="AT671" s="1">
        <v>0</v>
      </c>
      <c r="BA671" s="195"/>
      <c r="BB671" s="195"/>
      <c r="BC671" s="195"/>
      <c r="BD671" s="195"/>
      <c r="BE671" s="195"/>
      <c r="BF671" s="195"/>
      <c r="BG671" s="195"/>
      <c r="BH671" s="195"/>
      <c r="BI671" s="195"/>
    </row>
    <row r="672" spans="1:61" x14ac:dyDescent="0.25">
      <c r="A672" t="s">
        <v>343</v>
      </c>
      <c r="B672" t="s">
        <v>344</v>
      </c>
      <c r="C672" t="s">
        <v>1019</v>
      </c>
      <c r="D672" t="s">
        <v>1020</v>
      </c>
      <c r="E672" t="s">
        <v>1021</v>
      </c>
      <c r="F672" t="s">
        <v>28</v>
      </c>
      <c r="AG672" t="s">
        <v>692</v>
      </c>
      <c r="AH672" t="s">
        <v>693</v>
      </c>
      <c r="AI672" t="s">
        <v>353</v>
      </c>
      <c r="AJ672" t="s">
        <v>1021</v>
      </c>
      <c r="AK672" s="1">
        <v>-8838.16</v>
      </c>
      <c r="AL672" s="1">
        <v>0</v>
      </c>
      <c r="AM672" s="1">
        <v>-8838.16</v>
      </c>
      <c r="AN672" s="1">
        <v>-4419.08</v>
      </c>
      <c r="AO672" s="1">
        <v>0</v>
      </c>
      <c r="AP672" s="1">
        <v>-4419.08</v>
      </c>
      <c r="AQ672" s="1">
        <v>-4838.63</v>
      </c>
      <c r="AR672" s="1">
        <v>0</v>
      </c>
      <c r="AS672" s="1">
        <v>-4838.63</v>
      </c>
      <c r="AT672" s="1">
        <v>0</v>
      </c>
      <c r="BA672" s="195"/>
      <c r="BB672" s="195"/>
      <c r="BC672" s="195"/>
      <c r="BD672" s="195"/>
      <c r="BE672" s="195"/>
      <c r="BF672" s="195"/>
      <c r="BG672" s="195"/>
      <c r="BH672" s="195"/>
      <c r="BI672" s="195"/>
    </row>
    <row r="673" spans="1:61" x14ac:dyDescent="0.25">
      <c r="A673" t="s">
        <v>343</v>
      </c>
      <c r="B673" t="s">
        <v>344</v>
      </c>
      <c r="C673" t="s">
        <v>1019</v>
      </c>
      <c r="D673" t="s">
        <v>1020</v>
      </c>
      <c r="E673" t="s">
        <v>1021</v>
      </c>
      <c r="F673" t="s">
        <v>28</v>
      </c>
      <c r="AG673" t="s">
        <v>694</v>
      </c>
      <c r="AH673" t="s">
        <v>695</v>
      </c>
      <c r="AI673" t="s">
        <v>353</v>
      </c>
      <c r="AJ673" t="s">
        <v>1021</v>
      </c>
      <c r="AK673" s="1">
        <v>-70759.600000000006</v>
      </c>
      <c r="AL673" s="1">
        <v>0</v>
      </c>
      <c r="AM673" s="1">
        <v>-70759.600000000006</v>
      </c>
      <c r="AN673" s="1">
        <v>-35379.800000000003</v>
      </c>
      <c r="AO673" s="1">
        <v>0</v>
      </c>
      <c r="AP673" s="1">
        <v>-35379.800000000003</v>
      </c>
      <c r="AQ673" s="1">
        <v>-31361.8</v>
      </c>
      <c r="AR673" s="1">
        <v>0</v>
      </c>
      <c r="AS673" s="1">
        <v>-31361.8</v>
      </c>
      <c r="AT673" s="1">
        <v>0</v>
      </c>
      <c r="BA673" s="195"/>
      <c r="BB673" s="195"/>
      <c r="BC673" s="195"/>
      <c r="BD673" s="195"/>
      <c r="BE673" s="195"/>
      <c r="BF673" s="195"/>
      <c r="BG673" s="195"/>
      <c r="BH673" s="195"/>
      <c r="BI673" s="195"/>
    </row>
    <row r="674" spans="1:61" x14ac:dyDescent="0.25">
      <c r="A674" t="s">
        <v>343</v>
      </c>
      <c r="B674" t="s">
        <v>344</v>
      </c>
      <c r="C674" t="s">
        <v>1019</v>
      </c>
      <c r="D674" t="s">
        <v>1020</v>
      </c>
      <c r="E674" t="s">
        <v>1021</v>
      </c>
      <c r="F674" t="s">
        <v>28</v>
      </c>
      <c r="AG674" t="s">
        <v>696</v>
      </c>
      <c r="AH674" t="s">
        <v>697</v>
      </c>
      <c r="AI674" t="s">
        <v>353</v>
      </c>
      <c r="AJ674" t="s">
        <v>1021</v>
      </c>
      <c r="AK674" s="1">
        <v>-12630</v>
      </c>
      <c r="AL674" s="1">
        <v>0</v>
      </c>
      <c r="AM674" s="1">
        <v>-12630</v>
      </c>
      <c r="AN674" s="1">
        <v>-6315</v>
      </c>
      <c r="AO674" s="1">
        <v>0</v>
      </c>
      <c r="AP674" s="1">
        <v>-6315</v>
      </c>
      <c r="AQ674" s="1">
        <v>-9428.26</v>
      </c>
      <c r="AR674" s="1">
        <v>0</v>
      </c>
      <c r="AS674" s="1">
        <v>-9428.26</v>
      </c>
      <c r="AT674" s="1">
        <v>0</v>
      </c>
      <c r="BA674" s="195"/>
      <c r="BB674" s="195"/>
      <c r="BC674" s="195"/>
      <c r="BD674" s="195"/>
      <c r="BE674" s="195"/>
      <c r="BF674" s="195"/>
      <c r="BG674" s="195"/>
      <c r="BH674" s="195"/>
      <c r="BI674" s="195"/>
    </row>
    <row r="675" spans="1:61" x14ac:dyDescent="0.25">
      <c r="A675" t="s">
        <v>343</v>
      </c>
      <c r="B675" t="s">
        <v>344</v>
      </c>
      <c r="C675" t="s">
        <v>1019</v>
      </c>
      <c r="D675" t="s">
        <v>1020</v>
      </c>
      <c r="E675" t="s">
        <v>1021</v>
      </c>
      <c r="F675" t="s">
        <v>28</v>
      </c>
      <c r="AG675" t="s">
        <v>698</v>
      </c>
      <c r="AH675" t="s">
        <v>699</v>
      </c>
      <c r="AI675" t="s">
        <v>353</v>
      </c>
      <c r="AJ675" t="s">
        <v>1021</v>
      </c>
      <c r="AK675" s="1">
        <v>-573.54</v>
      </c>
      <c r="AL675" s="1">
        <v>0</v>
      </c>
      <c r="AM675" s="1">
        <v>-573.54</v>
      </c>
      <c r="AN675" s="1">
        <v>-286.77</v>
      </c>
      <c r="AO675" s="1">
        <v>0</v>
      </c>
      <c r="AP675" s="1">
        <v>-286.77</v>
      </c>
      <c r="AQ675" s="1">
        <v>0</v>
      </c>
      <c r="AR675" s="1">
        <v>0</v>
      </c>
      <c r="AS675" s="1">
        <v>0</v>
      </c>
      <c r="AT675" s="1">
        <v>0</v>
      </c>
      <c r="BA675" s="195"/>
      <c r="BB675" s="195"/>
      <c r="BC675" s="195"/>
      <c r="BD675" s="195"/>
      <c r="BE675" s="195"/>
      <c r="BF675" s="195"/>
      <c r="BG675" s="195"/>
      <c r="BH675" s="195"/>
      <c r="BI675" s="195"/>
    </row>
    <row r="676" spans="1:61" x14ac:dyDescent="0.25">
      <c r="A676" t="s">
        <v>343</v>
      </c>
      <c r="B676" t="s">
        <v>344</v>
      </c>
      <c r="C676" t="s">
        <v>1019</v>
      </c>
      <c r="D676" t="s">
        <v>1020</v>
      </c>
      <c r="E676" t="s">
        <v>1021</v>
      </c>
      <c r="F676" t="s">
        <v>28</v>
      </c>
      <c r="AG676" t="s">
        <v>700</v>
      </c>
      <c r="AH676" t="s">
        <v>701</v>
      </c>
      <c r="AI676" t="s">
        <v>353</v>
      </c>
      <c r="AJ676" t="s">
        <v>1021</v>
      </c>
      <c r="AK676" s="1">
        <v>-48622</v>
      </c>
      <c r="AL676" s="1">
        <v>0</v>
      </c>
      <c r="AM676" s="1">
        <v>-48622</v>
      </c>
      <c r="AN676" s="1">
        <v>-24311</v>
      </c>
      <c r="AO676" s="1">
        <v>0</v>
      </c>
      <c r="AP676" s="1">
        <v>-24311</v>
      </c>
      <c r="AQ676" s="1">
        <v>-25323</v>
      </c>
      <c r="AR676" s="1">
        <v>0</v>
      </c>
      <c r="AS676" s="1">
        <v>-25323</v>
      </c>
      <c r="AT676" s="1">
        <v>0</v>
      </c>
      <c r="BA676" s="195"/>
      <c r="BB676" s="195"/>
      <c r="BC676" s="195"/>
      <c r="BD676" s="195"/>
      <c r="BE676" s="195"/>
      <c r="BF676" s="195"/>
      <c r="BG676" s="195"/>
      <c r="BH676" s="195"/>
      <c r="BI676" s="195"/>
    </row>
    <row r="677" spans="1:61" x14ac:dyDescent="0.25">
      <c r="A677" t="s">
        <v>343</v>
      </c>
      <c r="B677" t="s">
        <v>344</v>
      </c>
      <c r="C677" t="s">
        <v>1019</v>
      </c>
      <c r="D677" t="s">
        <v>1020</v>
      </c>
      <c r="E677" t="s">
        <v>1021</v>
      </c>
      <c r="F677" t="s">
        <v>28</v>
      </c>
      <c r="AG677" t="s">
        <v>702</v>
      </c>
      <c r="AH677" t="s">
        <v>703</v>
      </c>
      <c r="AI677" t="s">
        <v>353</v>
      </c>
      <c r="AJ677" t="s">
        <v>1021</v>
      </c>
      <c r="AK677" s="1">
        <v>-57275.62</v>
      </c>
      <c r="AL677" s="1">
        <v>0</v>
      </c>
      <c r="AM677" s="1">
        <v>-57275.62</v>
      </c>
      <c r="AN677" s="1">
        <v>-28637.81</v>
      </c>
      <c r="AO677" s="1">
        <v>0</v>
      </c>
      <c r="AP677" s="1">
        <v>-28637.81</v>
      </c>
      <c r="AQ677" s="1">
        <v>-15324.77</v>
      </c>
      <c r="AR677" s="1">
        <v>0</v>
      </c>
      <c r="AS677" s="1">
        <v>-15324.77</v>
      </c>
      <c r="AT677" s="1">
        <v>0</v>
      </c>
      <c r="BA677" s="195"/>
      <c r="BB677" s="195"/>
      <c r="BC677" s="195"/>
      <c r="BD677" s="195"/>
      <c r="BE677" s="195"/>
      <c r="BF677" s="195"/>
      <c r="BG677" s="195"/>
      <c r="BH677" s="195"/>
      <c r="BI677" s="195"/>
    </row>
    <row r="678" spans="1:61" x14ac:dyDescent="0.25">
      <c r="A678" t="s">
        <v>343</v>
      </c>
      <c r="B678" t="s">
        <v>344</v>
      </c>
      <c r="C678" t="s">
        <v>1019</v>
      </c>
      <c r="D678" t="s">
        <v>1020</v>
      </c>
      <c r="E678" t="s">
        <v>1021</v>
      </c>
      <c r="F678" t="s">
        <v>28</v>
      </c>
      <c r="AG678" t="s">
        <v>737</v>
      </c>
      <c r="AH678" t="s">
        <v>738</v>
      </c>
      <c r="AI678" t="s">
        <v>353</v>
      </c>
      <c r="AJ678" t="s">
        <v>1021</v>
      </c>
      <c r="AK678" s="1">
        <v>2932803.02</v>
      </c>
      <c r="AL678" s="1">
        <v>0</v>
      </c>
      <c r="AM678" s="1">
        <v>2932803.02</v>
      </c>
      <c r="AN678" s="1">
        <v>1466401.51</v>
      </c>
      <c r="AO678" s="1">
        <v>0</v>
      </c>
      <c r="AP678" s="1">
        <v>1466401.51</v>
      </c>
      <c r="AQ678" s="1">
        <v>1564044.46</v>
      </c>
      <c r="AR678" s="1">
        <v>0</v>
      </c>
      <c r="AS678" s="1">
        <v>1564044.46</v>
      </c>
      <c r="AT678" s="1">
        <v>0</v>
      </c>
      <c r="BA678" s="195"/>
      <c r="BB678" s="195"/>
      <c r="BC678" s="195"/>
      <c r="BD678" s="195"/>
      <c r="BE678" s="195"/>
      <c r="BF678" s="195"/>
      <c r="BG678" s="195"/>
      <c r="BH678" s="195"/>
      <c r="BI678" s="195"/>
    </row>
    <row r="679" spans="1:61" x14ac:dyDescent="0.25">
      <c r="A679" t="s">
        <v>343</v>
      </c>
      <c r="B679" t="s">
        <v>344</v>
      </c>
      <c r="C679" t="s">
        <v>1019</v>
      </c>
      <c r="D679" t="s">
        <v>1020</v>
      </c>
      <c r="E679" t="s">
        <v>1021</v>
      </c>
      <c r="F679" t="s">
        <v>28</v>
      </c>
      <c r="AG679" t="s">
        <v>739</v>
      </c>
      <c r="AH679" t="s">
        <v>740</v>
      </c>
      <c r="AI679" t="s">
        <v>353</v>
      </c>
      <c r="AJ679" t="s">
        <v>1021</v>
      </c>
      <c r="AK679" s="1">
        <v>94938</v>
      </c>
      <c r="AL679" s="1">
        <v>0</v>
      </c>
      <c r="AM679" s="1">
        <v>94938</v>
      </c>
      <c r="AN679" s="1">
        <v>47469</v>
      </c>
      <c r="AO679" s="1">
        <v>0</v>
      </c>
      <c r="AP679" s="1">
        <v>47469</v>
      </c>
      <c r="AQ679" s="1">
        <v>108274.35</v>
      </c>
      <c r="AR679" s="1">
        <v>0</v>
      </c>
      <c r="AS679" s="1">
        <v>108274.35</v>
      </c>
      <c r="AT679" s="1">
        <v>0</v>
      </c>
      <c r="BA679" s="195"/>
      <c r="BB679" s="195"/>
      <c r="BC679" s="195"/>
      <c r="BD679" s="195"/>
      <c r="BE679" s="195"/>
      <c r="BF679" s="195"/>
      <c r="BG679" s="195"/>
      <c r="BH679" s="195"/>
      <c r="BI679" s="195"/>
    </row>
    <row r="680" spans="1:61" x14ac:dyDescent="0.25">
      <c r="A680" t="s">
        <v>343</v>
      </c>
      <c r="B680" t="s">
        <v>344</v>
      </c>
      <c r="C680" t="s">
        <v>1019</v>
      </c>
      <c r="D680" t="s">
        <v>1020</v>
      </c>
      <c r="E680" t="s">
        <v>1021</v>
      </c>
      <c r="F680" t="s">
        <v>28</v>
      </c>
      <c r="AG680" t="s">
        <v>741</v>
      </c>
      <c r="AH680" t="s">
        <v>742</v>
      </c>
      <c r="AI680" t="s">
        <v>353</v>
      </c>
      <c r="AJ680" t="s">
        <v>1021</v>
      </c>
      <c r="AK680" s="1">
        <v>1040000</v>
      </c>
      <c r="AL680" s="1">
        <v>0</v>
      </c>
      <c r="AM680" s="1">
        <v>1040000</v>
      </c>
      <c r="AN680" s="1">
        <v>2141.12</v>
      </c>
      <c r="AO680" s="1">
        <v>0</v>
      </c>
      <c r="AP680" s="1">
        <v>2141.12</v>
      </c>
      <c r="AQ680" s="1">
        <v>12670.74</v>
      </c>
      <c r="AR680" s="1">
        <v>0</v>
      </c>
      <c r="AS680" s="1">
        <v>12670.74</v>
      </c>
      <c r="AT680" s="1">
        <v>0</v>
      </c>
      <c r="BA680" s="195"/>
      <c r="BB680" s="195"/>
      <c r="BC680" s="195"/>
      <c r="BD680" s="195"/>
      <c r="BE680" s="195"/>
      <c r="BF680" s="195"/>
      <c r="BG680" s="195"/>
      <c r="BH680" s="195"/>
      <c r="BI680" s="195"/>
    </row>
    <row r="681" spans="1:61" x14ac:dyDescent="0.25">
      <c r="A681" t="s">
        <v>343</v>
      </c>
      <c r="B681" t="s">
        <v>344</v>
      </c>
      <c r="C681" t="s">
        <v>1019</v>
      </c>
      <c r="D681" t="s">
        <v>1020</v>
      </c>
      <c r="E681" t="s">
        <v>1021</v>
      </c>
      <c r="F681" t="s">
        <v>28</v>
      </c>
      <c r="AG681" t="s">
        <v>743</v>
      </c>
      <c r="AH681" t="s">
        <v>744</v>
      </c>
      <c r="AI681" t="s">
        <v>353</v>
      </c>
      <c r="AJ681" t="s">
        <v>1021</v>
      </c>
      <c r="AK681" s="1">
        <v>669910.06000000006</v>
      </c>
      <c r="AL681" s="1">
        <v>0</v>
      </c>
      <c r="AM681" s="1">
        <v>669910.06000000006</v>
      </c>
      <c r="AN681" s="1">
        <v>334955.03000000003</v>
      </c>
      <c r="AO681" s="1">
        <v>0</v>
      </c>
      <c r="AP681" s="1">
        <v>334955.03000000003</v>
      </c>
      <c r="AQ681" s="1">
        <v>442116.04</v>
      </c>
      <c r="AR681" s="1">
        <v>0</v>
      </c>
      <c r="AS681" s="1">
        <v>442116.04</v>
      </c>
      <c r="AT681" s="1">
        <v>0</v>
      </c>
      <c r="BA681" s="195"/>
      <c r="BB681" s="195"/>
      <c r="BC681" s="195"/>
      <c r="BD681" s="195"/>
      <c r="BE681" s="195"/>
      <c r="BF681" s="195"/>
      <c r="BG681" s="195"/>
      <c r="BH681" s="195"/>
      <c r="BI681" s="195"/>
    </row>
    <row r="682" spans="1:61" x14ac:dyDescent="0.25">
      <c r="A682" t="s">
        <v>343</v>
      </c>
      <c r="B682" t="s">
        <v>344</v>
      </c>
      <c r="C682" t="s">
        <v>1019</v>
      </c>
      <c r="D682" t="s">
        <v>1020</v>
      </c>
      <c r="E682" t="s">
        <v>1021</v>
      </c>
      <c r="F682" t="s">
        <v>28</v>
      </c>
      <c r="AG682" t="s">
        <v>745</v>
      </c>
      <c r="AH682" t="s">
        <v>746</v>
      </c>
      <c r="AI682" t="s">
        <v>353</v>
      </c>
      <c r="AJ682" t="s">
        <v>1021</v>
      </c>
      <c r="AK682" s="1">
        <v>1235235.1399999999</v>
      </c>
      <c r="AL682" s="1">
        <v>0</v>
      </c>
      <c r="AM682" s="1">
        <v>1235235.1399999999</v>
      </c>
      <c r="AN682" s="1">
        <v>0</v>
      </c>
      <c r="AO682" s="1"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BA682" s="195"/>
      <c r="BB682" s="195"/>
      <c r="BC682" s="195"/>
      <c r="BD682" s="195"/>
      <c r="BE682" s="195"/>
      <c r="BF682" s="195"/>
      <c r="BG682" s="195"/>
      <c r="BH682" s="195"/>
      <c r="BI682" s="195"/>
    </row>
    <row r="683" spans="1:61" x14ac:dyDescent="0.25">
      <c r="A683" t="s">
        <v>343</v>
      </c>
      <c r="B683" t="s">
        <v>344</v>
      </c>
      <c r="C683" t="s">
        <v>1019</v>
      </c>
      <c r="D683" t="s">
        <v>1020</v>
      </c>
      <c r="E683" t="s">
        <v>1021</v>
      </c>
      <c r="F683" t="s">
        <v>28</v>
      </c>
      <c r="AG683" t="s">
        <v>747</v>
      </c>
      <c r="AH683" t="s">
        <v>748</v>
      </c>
      <c r="AI683" t="s">
        <v>353</v>
      </c>
      <c r="AJ683" t="s">
        <v>1021</v>
      </c>
      <c r="AK683" s="1">
        <v>160000</v>
      </c>
      <c r="AL683" s="1">
        <v>0</v>
      </c>
      <c r="AM683" s="1">
        <v>160000</v>
      </c>
      <c r="AN683" s="1">
        <v>1144433.94</v>
      </c>
      <c r="AO683" s="1">
        <v>0</v>
      </c>
      <c r="AP683" s="1">
        <v>1144433.94</v>
      </c>
      <c r="AQ683" s="1">
        <v>1208960.96</v>
      </c>
      <c r="AR683" s="1">
        <v>0</v>
      </c>
      <c r="AS683" s="1">
        <v>1208960.96</v>
      </c>
      <c r="AT683" s="1">
        <v>0</v>
      </c>
      <c r="BA683" s="195"/>
      <c r="BB683" s="195"/>
      <c r="BC683" s="195"/>
      <c r="BD683" s="195"/>
      <c r="BE683" s="195"/>
      <c r="BF683" s="195"/>
      <c r="BG683" s="195"/>
      <c r="BH683" s="195"/>
      <c r="BI683" s="195"/>
    </row>
    <row r="684" spans="1:61" x14ac:dyDescent="0.25">
      <c r="A684" t="s">
        <v>343</v>
      </c>
      <c r="B684" t="s">
        <v>344</v>
      </c>
      <c r="C684" t="s">
        <v>1019</v>
      </c>
      <c r="D684" t="s">
        <v>1020</v>
      </c>
      <c r="E684" t="s">
        <v>1021</v>
      </c>
      <c r="F684" t="s">
        <v>28</v>
      </c>
      <c r="AG684" t="s">
        <v>749</v>
      </c>
      <c r="AH684" t="s">
        <v>750</v>
      </c>
      <c r="AI684" t="s">
        <v>353</v>
      </c>
      <c r="AJ684" t="s">
        <v>1021</v>
      </c>
      <c r="AK684" s="1">
        <v>757912.7</v>
      </c>
      <c r="AL684" s="1">
        <v>0</v>
      </c>
      <c r="AM684" s="1">
        <v>757912.7</v>
      </c>
      <c r="AN684" s="1">
        <v>378956.35</v>
      </c>
      <c r="AO684" s="1">
        <v>0</v>
      </c>
      <c r="AP684" s="1">
        <v>378956.35</v>
      </c>
      <c r="AQ684" s="1">
        <v>309228.06</v>
      </c>
      <c r="AR684" s="1">
        <v>0</v>
      </c>
      <c r="AS684" s="1">
        <v>309228.06</v>
      </c>
      <c r="AT684" s="1">
        <v>0</v>
      </c>
      <c r="BA684" s="195"/>
      <c r="BB684" s="195"/>
      <c r="BC684" s="195"/>
      <c r="BD684" s="195"/>
      <c r="BE684" s="195"/>
      <c r="BF684" s="195"/>
      <c r="BG684" s="195"/>
      <c r="BH684" s="195"/>
      <c r="BI684" s="195"/>
    </row>
    <row r="685" spans="1:61" x14ac:dyDescent="0.25">
      <c r="A685" t="s">
        <v>343</v>
      </c>
      <c r="B685" t="s">
        <v>344</v>
      </c>
      <c r="C685" t="s">
        <v>1019</v>
      </c>
      <c r="D685" t="s">
        <v>1020</v>
      </c>
      <c r="E685" t="s">
        <v>1021</v>
      </c>
      <c r="F685" t="s">
        <v>28</v>
      </c>
      <c r="AG685" t="s">
        <v>751</v>
      </c>
      <c r="AH685" t="s">
        <v>752</v>
      </c>
      <c r="AI685" t="s">
        <v>353</v>
      </c>
      <c r="AJ685" t="s">
        <v>1021</v>
      </c>
      <c r="AK685" s="1">
        <v>9240</v>
      </c>
      <c r="AL685" s="1">
        <v>0</v>
      </c>
      <c r="AM685" s="1">
        <v>9240</v>
      </c>
      <c r="AN685" s="1">
        <v>4620</v>
      </c>
      <c r="AO685" s="1">
        <v>0</v>
      </c>
      <c r="AP685" s="1">
        <v>4620</v>
      </c>
      <c r="AQ685" s="1">
        <v>4000</v>
      </c>
      <c r="AR685" s="1">
        <v>0</v>
      </c>
      <c r="AS685" s="1">
        <v>4000</v>
      </c>
      <c r="AT685" s="1">
        <v>0</v>
      </c>
      <c r="BA685" s="195"/>
      <c r="BB685" s="195"/>
      <c r="BC685" s="195"/>
      <c r="BD685" s="195"/>
      <c r="BE685" s="195"/>
      <c r="BF685" s="195"/>
      <c r="BG685" s="195"/>
      <c r="BH685" s="195"/>
      <c r="BI685" s="195"/>
    </row>
    <row r="686" spans="1:61" x14ac:dyDescent="0.25">
      <c r="A686" t="s">
        <v>343</v>
      </c>
      <c r="B686" t="s">
        <v>344</v>
      </c>
      <c r="C686" t="s">
        <v>1019</v>
      </c>
      <c r="D686" t="s">
        <v>1020</v>
      </c>
      <c r="E686" t="s">
        <v>1021</v>
      </c>
      <c r="F686" t="s">
        <v>28</v>
      </c>
      <c r="AG686" t="s">
        <v>753</v>
      </c>
      <c r="AH686" t="s">
        <v>754</v>
      </c>
      <c r="AI686" t="s">
        <v>353</v>
      </c>
      <c r="AJ686" t="s">
        <v>1021</v>
      </c>
      <c r="AK686" s="1">
        <v>6810995.9199999999</v>
      </c>
      <c r="AL686" s="1">
        <v>0</v>
      </c>
      <c r="AM686" s="1">
        <v>6810995.9199999999</v>
      </c>
      <c r="AN686" s="1">
        <v>3405497.96</v>
      </c>
      <c r="AO686" s="1">
        <v>0</v>
      </c>
      <c r="AP686" s="1">
        <v>3405497.96</v>
      </c>
      <c r="AQ686" s="1">
        <v>2972947.09</v>
      </c>
      <c r="AR686" s="1">
        <v>0</v>
      </c>
      <c r="AS686" s="1">
        <v>2972947.09</v>
      </c>
      <c r="AT686" s="1">
        <v>0</v>
      </c>
      <c r="BA686" s="195"/>
      <c r="BB686" s="195"/>
      <c r="BC686" s="195"/>
      <c r="BD686" s="195"/>
      <c r="BE686" s="195"/>
      <c r="BF686" s="195"/>
      <c r="BG686" s="195"/>
      <c r="BH686" s="195"/>
      <c r="BI686" s="195"/>
    </row>
    <row r="687" spans="1:61" x14ac:dyDescent="0.25">
      <c r="A687" t="s">
        <v>343</v>
      </c>
      <c r="B687" t="s">
        <v>344</v>
      </c>
      <c r="C687" t="s">
        <v>1019</v>
      </c>
      <c r="D687" t="s">
        <v>1020</v>
      </c>
      <c r="E687" t="s">
        <v>1021</v>
      </c>
      <c r="F687" t="s">
        <v>28</v>
      </c>
      <c r="AG687" t="s">
        <v>755</v>
      </c>
      <c r="AH687" t="s">
        <v>756</v>
      </c>
      <c r="AI687" t="s">
        <v>353</v>
      </c>
      <c r="AJ687" t="s">
        <v>1021</v>
      </c>
      <c r="AK687" s="1">
        <v>21958.080000000002</v>
      </c>
      <c r="AL687" s="1">
        <v>0</v>
      </c>
      <c r="AM687" s="1">
        <v>21958.080000000002</v>
      </c>
      <c r="AN687" s="1">
        <v>10979.04</v>
      </c>
      <c r="AO687" s="1">
        <v>0</v>
      </c>
      <c r="AP687" s="1">
        <v>10979.04</v>
      </c>
      <c r="AQ687" s="1">
        <v>11648.39</v>
      </c>
      <c r="AR687" s="1">
        <v>0</v>
      </c>
      <c r="AS687" s="1">
        <v>11648.39</v>
      </c>
      <c r="AT687" s="1">
        <v>0</v>
      </c>
      <c r="BA687" s="195"/>
      <c r="BB687" s="195"/>
      <c r="BC687" s="195"/>
      <c r="BD687" s="195"/>
      <c r="BE687" s="195"/>
      <c r="BF687" s="195"/>
      <c r="BG687" s="195"/>
      <c r="BH687" s="195"/>
      <c r="BI687" s="195"/>
    </row>
    <row r="688" spans="1:61" x14ac:dyDescent="0.25">
      <c r="A688" t="s">
        <v>343</v>
      </c>
      <c r="B688" t="s">
        <v>344</v>
      </c>
      <c r="C688" t="s">
        <v>1019</v>
      </c>
      <c r="D688" t="s">
        <v>1020</v>
      </c>
      <c r="E688" t="s">
        <v>1021</v>
      </c>
      <c r="F688" t="s">
        <v>28</v>
      </c>
      <c r="AG688" t="s">
        <v>757</v>
      </c>
      <c r="AH688" t="s">
        <v>758</v>
      </c>
      <c r="AI688" t="s">
        <v>353</v>
      </c>
      <c r="AJ688" t="s">
        <v>1021</v>
      </c>
      <c r="AK688" s="1">
        <v>-4000.08</v>
      </c>
      <c r="AL688" s="1">
        <v>0</v>
      </c>
      <c r="AM688" s="1">
        <v>-4000.08</v>
      </c>
      <c r="AN688" s="1">
        <v>-2000.04</v>
      </c>
      <c r="AO688" s="1">
        <v>0</v>
      </c>
      <c r="AP688" s="1">
        <v>-2000.04</v>
      </c>
      <c r="AQ688" s="1">
        <v>2000.04</v>
      </c>
      <c r="AR688" s="1">
        <v>0</v>
      </c>
      <c r="AS688" s="1">
        <v>2000.04</v>
      </c>
      <c r="AT688" s="1">
        <v>0</v>
      </c>
      <c r="BA688" s="195"/>
      <c r="BB688" s="195"/>
      <c r="BC688" s="195"/>
      <c r="BD688" s="195"/>
      <c r="BE688" s="195"/>
      <c r="BF688" s="195"/>
      <c r="BG688" s="195"/>
      <c r="BH688" s="195"/>
      <c r="BI688" s="195"/>
    </row>
    <row r="689" spans="1:61" x14ac:dyDescent="0.25">
      <c r="A689" t="s">
        <v>343</v>
      </c>
      <c r="B689" t="s">
        <v>344</v>
      </c>
      <c r="C689" t="s">
        <v>1019</v>
      </c>
      <c r="D689" t="s">
        <v>1020</v>
      </c>
      <c r="E689" t="s">
        <v>1021</v>
      </c>
      <c r="F689" t="s">
        <v>28</v>
      </c>
      <c r="AG689" t="s">
        <v>759</v>
      </c>
      <c r="AH689" t="s">
        <v>760</v>
      </c>
      <c r="AI689" t="s">
        <v>353</v>
      </c>
      <c r="AJ689" t="s">
        <v>1021</v>
      </c>
      <c r="AK689" s="1">
        <v>607360.48</v>
      </c>
      <c r="AL689" s="1">
        <v>0</v>
      </c>
      <c r="AM689" s="1">
        <v>607360.48</v>
      </c>
      <c r="AN689" s="1">
        <v>303680.24</v>
      </c>
      <c r="AO689" s="1">
        <v>0</v>
      </c>
      <c r="AP689" s="1">
        <v>303680.24</v>
      </c>
      <c r="AQ689" s="1">
        <v>294913.21999999997</v>
      </c>
      <c r="AR689" s="1">
        <v>0</v>
      </c>
      <c r="AS689" s="1">
        <v>294913.21999999997</v>
      </c>
      <c r="AT689" s="1">
        <v>0</v>
      </c>
      <c r="BA689" s="195"/>
      <c r="BB689" s="195"/>
      <c r="BC689" s="195"/>
      <c r="BD689" s="195"/>
      <c r="BE689" s="195"/>
      <c r="BF689" s="195"/>
      <c r="BG689" s="195"/>
      <c r="BH689" s="195"/>
      <c r="BI689" s="195"/>
    </row>
    <row r="690" spans="1:61" x14ac:dyDescent="0.25">
      <c r="A690" t="s">
        <v>343</v>
      </c>
      <c r="B690" t="s">
        <v>344</v>
      </c>
      <c r="C690" t="s">
        <v>1019</v>
      </c>
      <c r="D690" t="s">
        <v>1020</v>
      </c>
      <c r="E690" t="s">
        <v>1021</v>
      </c>
      <c r="F690" t="s">
        <v>28</v>
      </c>
      <c r="AG690" t="s">
        <v>761</v>
      </c>
      <c r="AH690" t="s">
        <v>762</v>
      </c>
      <c r="AI690" t="s">
        <v>353</v>
      </c>
      <c r="AJ690" t="s">
        <v>1021</v>
      </c>
      <c r="AK690" s="1">
        <v>2230562.02</v>
      </c>
      <c r="AL690" s="1">
        <v>0</v>
      </c>
      <c r="AM690" s="1">
        <v>2230562.02</v>
      </c>
      <c r="AN690" s="1">
        <v>1115281.01</v>
      </c>
      <c r="AO690" s="1">
        <v>0</v>
      </c>
      <c r="AP690" s="1">
        <v>1115281.01</v>
      </c>
      <c r="AQ690" s="1">
        <v>2187998.2400000002</v>
      </c>
      <c r="AR690" s="1">
        <v>0</v>
      </c>
      <c r="AS690" s="1">
        <v>2187998.2400000002</v>
      </c>
      <c r="AT690" s="1">
        <v>0</v>
      </c>
      <c r="BA690" s="195"/>
      <c r="BB690" s="195"/>
      <c r="BC690" s="195"/>
      <c r="BD690" s="195"/>
      <c r="BE690" s="195"/>
      <c r="BF690" s="195"/>
      <c r="BG690" s="195"/>
      <c r="BH690" s="195"/>
      <c r="BI690" s="195"/>
    </row>
    <row r="691" spans="1:61" x14ac:dyDescent="0.25">
      <c r="A691" t="s">
        <v>343</v>
      </c>
      <c r="B691" t="s">
        <v>344</v>
      </c>
      <c r="C691" t="s">
        <v>1019</v>
      </c>
      <c r="D691" t="s">
        <v>1020</v>
      </c>
      <c r="E691" t="s">
        <v>1021</v>
      </c>
      <c r="F691" t="s">
        <v>28</v>
      </c>
      <c r="AG691" t="s">
        <v>763</v>
      </c>
      <c r="AH691" t="s">
        <v>764</v>
      </c>
      <c r="AI691" t="s">
        <v>353</v>
      </c>
      <c r="AJ691" t="s">
        <v>1021</v>
      </c>
      <c r="AK691" s="1">
        <v>11635.2</v>
      </c>
      <c r="AL691" s="1">
        <v>0</v>
      </c>
      <c r="AM691" s="1">
        <v>11635.2</v>
      </c>
      <c r="AN691" s="1">
        <v>5817.6</v>
      </c>
      <c r="AO691" s="1">
        <v>0</v>
      </c>
      <c r="AP691" s="1">
        <v>5817.6</v>
      </c>
      <c r="AQ691" s="1">
        <v>32350</v>
      </c>
      <c r="AR691" s="1">
        <v>0</v>
      </c>
      <c r="AS691" s="1">
        <v>32350</v>
      </c>
      <c r="AT691" s="1">
        <v>0</v>
      </c>
      <c r="BA691" s="195"/>
      <c r="BB691" s="195"/>
      <c r="BC691" s="195"/>
      <c r="BD691" s="195"/>
      <c r="BE691" s="195"/>
      <c r="BF691" s="195"/>
      <c r="BG691" s="195"/>
      <c r="BH691" s="195"/>
      <c r="BI691" s="195"/>
    </row>
    <row r="692" spans="1:61" x14ac:dyDescent="0.25">
      <c r="A692" t="s">
        <v>343</v>
      </c>
      <c r="B692" t="s">
        <v>344</v>
      </c>
      <c r="C692" t="s">
        <v>1019</v>
      </c>
      <c r="D692" t="s">
        <v>1020</v>
      </c>
      <c r="E692" t="s">
        <v>1021</v>
      </c>
      <c r="F692" t="s">
        <v>28</v>
      </c>
      <c r="AG692" t="s">
        <v>765</v>
      </c>
      <c r="AH692" t="s">
        <v>766</v>
      </c>
      <c r="AI692" t="s">
        <v>353</v>
      </c>
      <c r="AJ692" t="s">
        <v>1021</v>
      </c>
      <c r="AK692" s="1">
        <v>198073.96</v>
      </c>
      <c r="AL692" s="1">
        <v>0</v>
      </c>
      <c r="AM692" s="1">
        <v>198073.96</v>
      </c>
      <c r="AN692" s="1">
        <v>99036.98</v>
      </c>
      <c r="AO692" s="1">
        <v>0</v>
      </c>
      <c r="AP692" s="1">
        <v>99036.98</v>
      </c>
      <c r="AQ692" s="1">
        <v>56902.42</v>
      </c>
      <c r="AR692" s="1">
        <v>0</v>
      </c>
      <c r="AS692" s="1">
        <v>56902.42</v>
      </c>
      <c r="AT692" s="1">
        <v>0</v>
      </c>
      <c r="BA692" s="195"/>
      <c r="BB692" s="195"/>
      <c r="BC692" s="195"/>
      <c r="BD692" s="195"/>
      <c r="BE692" s="195"/>
      <c r="BF692" s="195"/>
      <c r="BG692" s="195"/>
      <c r="BH692" s="195"/>
      <c r="BI692" s="195"/>
    </row>
    <row r="693" spans="1:61" x14ac:dyDescent="0.25">
      <c r="A693" t="s">
        <v>343</v>
      </c>
      <c r="B693" t="s">
        <v>344</v>
      </c>
      <c r="C693" t="s">
        <v>1019</v>
      </c>
      <c r="D693" t="s">
        <v>1020</v>
      </c>
      <c r="E693" t="s">
        <v>1021</v>
      </c>
      <c r="F693" t="s">
        <v>28</v>
      </c>
      <c r="AG693" t="s">
        <v>767</v>
      </c>
      <c r="AH693" t="s">
        <v>768</v>
      </c>
      <c r="AI693" t="s">
        <v>353</v>
      </c>
      <c r="AJ693" t="s">
        <v>1021</v>
      </c>
      <c r="AK693" s="1">
        <v>127255.58</v>
      </c>
      <c r="AL693" s="1">
        <v>0</v>
      </c>
      <c r="AM693" s="1">
        <v>127255.58</v>
      </c>
      <c r="AN693" s="1">
        <v>63627.79</v>
      </c>
      <c r="AO693" s="1">
        <v>0</v>
      </c>
      <c r="AP693" s="1">
        <v>63627.79</v>
      </c>
      <c r="AQ693" s="1">
        <v>13315.13</v>
      </c>
      <c r="AR693" s="1">
        <v>0</v>
      </c>
      <c r="AS693" s="1">
        <v>13315.13</v>
      </c>
      <c r="AT693" s="1">
        <v>0</v>
      </c>
      <c r="BA693" s="195"/>
      <c r="BB693" s="195"/>
      <c r="BC693" s="195"/>
      <c r="BD693" s="195"/>
      <c r="BE693" s="195"/>
      <c r="BF693" s="195"/>
      <c r="BG693" s="195"/>
      <c r="BH693" s="195"/>
      <c r="BI693" s="195"/>
    </row>
    <row r="694" spans="1:61" x14ac:dyDescent="0.25">
      <c r="A694" t="s">
        <v>343</v>
      </c>
      <c r="B694" t="s">
        <v>344</v>
      </c>
      <c r="C694" t="s">
        <v>1019</v>
      </c>
      <c r="D694" t="s">
        <v>1020</v>
      </c>
      <c r="E694" t="s">
        <v>1021</v>
      </c>
      <c r="F694" t="s">
        <v>28</v>
      </c>
      <c r="AG694" t="s">
        <v>769</v>
      </c>
      <c r="AH694" t="s">
        <v>770</v>
      </c>
      <c r="AI694" t="s">
        <v>353</v>
      </c>
      <c r="AJ694" t="s">
        <v>1021</v>
      </c>
      <c r="AK694" s="1">
        <v>387777.28000000003</v>
      </c>
      <c r="AL694" s="1">
        <v>0</v>
      </c>
      <c r="AM694" s="1">
        <v>387777.28000000003</v>
      </c>
      <c r="AN694" s="1">
        <v>193888.64000000001</v>
      </c>
      <c r="AO694" s="1">
        <v>0</v>
      </c>
      <c r="AP694" s="1">
        <v>193888.64000000001</v>
      </c>
      <c r="AQ694" s="1">
        <v>131639.43</v>
      </c>
      <c r="AR694" s="1">
        <v>0</v>
      </c>
      <c r="AS694" s="1">
        <v>131639.43</v>
      </c>
      <c r="AT694" s="1">
        <v>0</v>
      </c>
      <c r="BA694" s="195"/>
      <c r="BB694" s="195"/>
      <c r="BC694" s="195"/>
      <c r="BD694" s="195"/>
      <c r="BE694" s="195"/>
      <c r="BF694" s="195"/>
      <c r="BG694" s="195"/>
      <c r="BH694" s="195"/>
      <c r="BI694" s="195"/>
    </row>
    <row r="695" spans="1:61" x14ac:dyDescent="0.25">
      <c r="A695" t="s">
        <v>343</v>
      </c>
      <c r="B695" t="s">
        <v>344</v>
      </c>
      <c r="C695" t="s">
        <v>1019</v>
      </c>
      <c r="D695" t="s">
        <v>1020</v>
      </c>
      <c r="E695" t="s">
        <v>1021</v>
      </c>
      <c r="F695" t="s">
        <v>28</v>
      </c>
      <c r="AG695" t="s">
        <v>771</v>
      </c>
      <c r="AH695" t="s">
        <v>772</v>
      </c>
      <c r="AI695" t="s">
        <v>353</v>
      </c>
      <c r="AJ695" t="s">
        <v>1021</v>
      </c>
      <c r="AK695" s="1">
        <v>603160.38</v>
      </c>
      <c r="AL695" s="1">
        <v>0</v>
      </c>
      <c r="AM695" s="1">
        <v>603160.38</v>
      </c>
      <c r="AN695" s="1">
        <v>301580.19</v>
      </c>
      <c r="AO695" s="1">
        <v>0</v>
      </c>
      <c r="AP695" s="1">
        <v>301580.19</v>
      </c>
      <c r="AQ695" s="1">
        <v>258796.34</v>
      </c>
      <c r="AR695" s="1">
        <v>0</v>
      </c>
      <c r="AS695" s="1">
        <v>258796.34</v>
      </c>
      <c r="AT695" s="1">
        <v>0</v>
      </c>
      <c r="BA695" s="195"/>
      <c r="BB695" s="195"/>
      <c r="BC695" s="195"/>
      <c r="BD695" s="195"/>
      <c r="BE695" s="195"/>
      <c r="BF695" s="195"/>
      <c r="BG695" s="195"/>
      <c r="BH695" s="195"/>
      <c r="BI695" s="195"/>
    </row>
    <row r="696" spans="1:61" x14ac:dyDescent="0.25">
      <c r="A696" t="s">
        <v>343</v>
      </c>
      <c r="B696" t="s">
        <v>344</v>
      </c>
      <c r="C696" t="s">
        <v>1019</v>
      </c>
      <c r="D696" t="s">
        <v>1020</v>
      </c>
      <c r="E696" t="s">
        <v>1021</v>
      </c>
      <c r="F696" t="s">
        <v>28</v>
      </c>
      <c r="AG696" t="s">
        <v>773</v>
      </c>
      <c r="AH696" t="s">
        <v>774</v>
      </c>
      <c r="AI696" t="s">
        <v>353</v>
      </c>
      <c r="AJ696" t="s">
        <v>1021</v>
      </c>
      <c r="AK696" s="1">
        <v>35918.54</v>
      </c>
      <c r="AL696" s="1">
        <v>0</v>
      </c>
      <c r="AM696" s="1">
        <v>35918.54</v>
      </c>
      <c r="AN696" s="1">
        <v>17959.27</v>
      </c>
      <c r="AO696" s="1">
        <v>0</v>
      </c>
      <c r="AP696" s="1">
        <v>17959.27</v>
      </c>
      <c r="AQ696" s="1">
        <v>16110.25</v>
      </c>
      <c r="AR696" s="1">
        <v>0</v>
      </c>
      <c r="AS696" s="1">
        <v>16110.25</v>
      </c>
      <c r="AT696" s="1">
        <v>0</v>
      </c>
      <c r="BA696" s="195"/>
      <c r="BB696" s="195"/>
      <c r="BC696" s="195"/>
      <c r="BD696" s="195"/>
      <c r="BE696" s="195"/>
      <c r="BF696" s="195"/>
      <c r="BG696" s="195"/>
      <c r="BH696" s="195"/>
      <c r="BI696" s="195"/>
    </row>
    <row r="697" spans="1:61" x14ac:dyDescent="0.25">
      <c r="A697" t="s">
        <v>343</v>
      </c>
      <c r="B697" t="s">
        <v>344</v>
      </c>
      <c r="C697" t="s">
        <v>1019</v>
      </c>
      <c r="D697" t="s">
        <v>1020</v>
      </c>
      <c r="E697" t="s">
        <v>1021</v>
      </c>
      <c r="F697" t="s">
        <v>28</v>
      </c>
      <c r="AG697" t="s">
        <v>775</v>
      </c>
      <c r="AH697" t="s">
        <v>776</v>
      </c>
      <c r="AI697" t="s">
        <v>353</v>
      </c>
      <c r="AJ697" t="s">
        <v>1021</v>
      </c>
      <c r="AK697" s="1">
        <v>1337.04</v>
      </c>
      <c r="AL697" s="1">
        <v>0</v>
      </c>
      <c r="AM697" s="1">
        <v>1337.04</v>
      </c>
      <c r="AN697" s="1">
        <v>668.52</v>
      </c>
      <c r="AO697" s="1">
        <v>0</v>
      </c>
      <c r="AP697" s="1">
        <v>668.52</v>
      </c>
      <c r="AQ697" s="1">
        <v>662.04</v>
      </c>
      <c r="AR697" s="1">
        <v>0</v>
      </c>
      <c r="AS697" s="1">
        <v>662.04</v>
      </c>
      <c r="AT697" s="1">
        <v>0</v>
      </c>
      <c r="BA697" s="195"/>
      <c r="BB697" s="195"/>
      <c r="BC697" s="195"/>
      <c r="BD697" s="195"/>
      <c r="BE697" s="195"/>
      <c r="BF697" s="195"/>
      <c r="BG697" s="195"/>
      <c r="BH697" s="195"/>
      <c r="BI697" s="195"/>
    </row>
    <row r="698" spans="1:61" x14ac:dyDescent="0.25">
      <c r="A698" t="s">
        <v>343</v>
      </c>
      <c r="B698" t="s">
        <v>344</v>
      </c>
      <c r="C698" t="s">
        <v>1019</v>
      </c>
      <c r="D698" t="s">
        <v>1020</v>
      </c>
      <c r="E698" t="s">
        <v>1021</v>
      </c>
      <c r="F698" t="s">
        <v>28</v>
      </c>
      <c r="AG698" t="s">
        <v>777</v>
      </c>
      <c r="AH698" t="s">
        <v>778</v>
      </c>
      <c r="AI698" t="s">
        <v>353</v>
      </c>
      <c r="AJ698" t="s">
        <v>1021</v>
      </c>
      <c r="AK698" s="1">
        <v>4011.12</v>
      </c>
      <c r="AL698" s="1">
        <v>0</v>
      </c>
      <c r="AM698" s="1">
        <v>4011.12</v>
      </c>
      <c r="AN698" s="1">
        <v>2005.56</v>
      </c>
      <c r="AO698" s="1">
        <v>0</v>
      </c>
      <c r="AP698" s="1">
        <v>2005.56</v>
      </c>
      <c r="AQ698" s="1">
        <v>1986.12</v>
      </c>
      <c r="AR698" s="1">
        <v>0</v>
      </c>
      <c r="AS698" s="1">
        <v>1986.12</v>
      </c>
      <c r="AT698" s="1">
        <v>0</v>
      </c>
      <c r="BA698" s="195"/>
      <c r="BB698" s="195"/>
      <c r="BC698" s="195"/>
      <c r="BD698" s="195"/>
      <c r="BE698" s="195"/>
      <c r="BF698" s="195"/>
      <c r="BG698" s="195"/>
      <c r="BH698" s="195"/>
      <c r="BI698" s="195"/>
    </row>
    <row r="699" spans="1:61" x14ac:dyDescent="0.25">
      <c r="A699" t="s">
        <v>343</v>
      </c>
      <c r="B699" t="s">
        <v>344</v>
      </c>
      <c r="C699" t="s">
        <v>1019</v>
      </c>
      <c r="D699" t="s">
        <v>1020</v>
      </c>
      <c r="E699" t="s">
        <v>1021</v>
      </c>
      <c r="F699" t="s">
        <v>28</v>
      </c>
      <c r="AG699" t="s">
        <v>779</v>
      </c>
      <c r="AH699" t="s">
        <v>780</v>
      </c>
      <c r="AI699" t="s">
        <v>353</v>
      </c>
      <c r="AJ699" t="s">
        <v>1021</v>
      </c>
      <c r="AK699" s="1">
        <v>239287.72</v>
      </c>
      <c r="AL699" s="1">
        <v>0</v>
      </c>
      <c r="AM699" s="1">
        <v>239287.72</v>
      </c>
      <c r="AN699" s="1">
        <v>119643.86</v>
      </c>
      <c r="AO699" s="1">
        <v>0</v>
      </c>
      <c r="AP699" s="1">
        <v>119643.86</v>
      </c>
      <c r="AQ699" s="1">
        <v>66460.73</v>
      </c>
      <c r="AR699" s="1">
        <v>0</v>
      </c>
      <c r="AS699" s="1">
        <v>66460.73</v>
      </c>
      <c r="AT699" s="1">
        <v>0</v>
      </c>
      <c r="BA699" s="195"/>
      <c r="BB699" s="195"/>
      <c r="BC699" s="195"/>
      <c r="BD699" s="195"/>
      <c r="BE699" s="195"/>
      <c r="BF699" s="195"/>
      <c r="BG699" s="195"/>
      <c r="BH699" s="195"/>
      <c r="BI699" s="195"/>
    </row>
    <row r="700" spans="1:61" x14ac:dyDescent="0.25">
      <c r="A700" t="s">
        <v>343</v>
      </c>
      <c r="B700" t="s">
        <v>344</v>
      </c>
      <c r="C700" t="s">
        <v>1019</v>
      </c>
      <c r="D700" t="s">
        <v>1020</v>
      </c>
      <c r="E700" t="s">
        <v>1021</v>
      </c>
      <c r="F700" t="s">
        <v>28</v>
      </c>
      <c r="AG700" t="s">
        <v>781</v>
      </c>
      <c r="AH700" t="s">
        <v>782</v>
      </c>
      <c r="AI700" t="s">
        <v>353</v>
      </c>
      <c r="AJ700" t="s">
        <v>1021</v>
      </c>
      <c r="AK700" s="1">
        <v>51481.38</v>
      </c>
      <c r="AL700" s="1">
        <v>0</v>
      </c>
      <c r="AM700" s="1">
        <v>51481.38</v>
      </c>
      <c r="AN700" s="1">
        <v>25740.69</v>
      </c>
      <c r="AO700" s="1">
        <v>0</v>
      </c>
      <c r="AP700" s="1">
        <v>25740.69</v>
      </c>
      <c r="AQ700" s="1">
        <v>14143.74</v>
      </c>
      <c r="AR700" s="1">
        <v>0</v>
      </c>
      <c r="AS700" s="1">
        <v>14143.74</v>
      </c>
      <c r="AT700" s="1">
        <v>0</v>
      </c>
      <c r="BA700" s="195"/>
      <c r="BB700" s="195"/>
      <c r="BC700" s="195"/>
      <c r="BD700" s="195"/>
      <c r="BE700" s="195"/>
      <c r="BF700" s="195"/>
      <c r="BG700" s="195"/>
      <c r="BH700" s="195"/>
      <c r="BI700" s="195"/>
    </row>
    <row r="701" spans="1:61" x14ac:dyDescent="0.25">
      <c r="A701" t="s">
        <v>343</v>
      </c>
      <c r="B701" t="s">
        <v>344</v>
      </c>
      <c r="C701" t="s">
        <v>1019</v>
      </c>
      <c r="D701" t="s">
        <v>1020</v>
      </c>
      <c r="E701" t="s">
        <v>1021</v>
      </c>
      <c r="F701" t="s">
        <v>28</v>
      </c>
      <c r="AG701" t="s">
        <v>783</v>
      </c>
      <c r="AH701" t="s">
        <v>784</v>
      </c>
      <c r="AI701" t="s">
        <v>353</v>
      </c>
      <c r="AJ701" t="s">
        <v>1021</v>
      </c>
      <c r="AK701" s="1">
        <v>258236.36</v>
      </c>
      <c r="AL701" s="1">
        <v>0</v>
      </c>
      <c r="AM701" s="1">
        <v>258236.36</v>
      </c>
      <c r="AN701" s="1">
        <v>129118.18</v>
      </c>
      <c r="AO701" s="1">
        <v>0</v>
      </c>
      <c r="AP701" s="1">
        <v>129118.18</v>
      </c>
      <c r="AQ701" s="1">
        <v>211607.02</v>
      </c>
      <c r="AR701" s="1">
        <v>0</v>
      </c>
      <c r="AS701" s="1">
        <v>211607.02</v>
      </c>
      <c r="AT701" s="1">
        <v>0</v>
      </c>
      <c r="BA701" s="195"/>
      <c r="BB701" s="195"/>
      <c r="BC701" s="195"/>
      <c r="BD701" s="195"/>
      <c r="BE701" s="195"/>
      <c r="BF701" s="195"/>
      <c r="BG701" s="195"/>
      <c r="BH701" s="195"/>
      <c r="BI701" s="195"/>
    </row>
    <row r="702" spans="1:61" x14ac:dyDescent="0.25">
      <c r="A702" t="s">
        <v>343</v>
      </c>
      <c r="B702" t="s">
        <v>344</v>
      </c>
      <c r="C702" t="s">
        <v>1019</v>
      </c>
      <c r="D702" t="s">
        <v>1020</v>
      </c>
      <c r="E702" t="s">
        <v>1021</v>
      </c>
      <c r="F702" t="s">
        <v>28</v>
      </c>
      <c r="AG702" t="s">
        <v>785</v>
      </c>
      <c r="AH702" t="s">
        <v>786</v>
      </c>
      <c r="AI702" t="s">
        <v>353</v>
      </c>
      <c r="AJ702" t="s">
        <v>1021</v>
      </c>
      <c r="AK702" s="1">
        <v>350727.7</v>
      </c>
      <c r="AL702" s="1">
        <v>0</v>
      </c>
      <c r="AM702" s="1">
        <v>350727.7</v>
      </c>
      <c r="AN702" s="1">
        <v>175363.85</v>
      </c>
      <c r="AO702" s="1">
        <v>0</v>
      </c>
      <c r="AP702" s="1">
        <v>175363.85</v>
      </c>
      <c r="AQ702" s="1">
        <v>304157.21000000002</v>
      </c>
      <c r="AR702" s="1">
        <v>0</v>
      </c>
      <c r="AS702" s="1">
        <v>304157.21000000002</v>
      </c>
      <c r="AT702" s="1">
        <v>0</v>
      </c>
      <c r="BA702" s="195"/>
      <c r="BB702" s="195"/>
      <c r="BC702" s="195"/>
      <c r="BD702" s="195"/>
      <c r="BE702" s="195"/>
      <c r="BF702" s="195"/>
      <c r="BG702" s="195"/>
      <c r="BH702" s="195"/>
      <c r="BI702" s="195"/>
    </row>
    <row r="703" spans="1:61" x14ac:dyDescent="0.25">
      <c r="A703" t="s">
        <v>343</v>
      </c>
      <c r="B703" t="s">
        <v>344</v>
      </c>
      <c r="C703" t="s">
        <v>1019</v>
      </c>
      <c r="D703" t="s">
        <v>1020</v>
      </c>
      <c r="E703" t="s">
        <v>1021</v>
      </c>
      <c r="F703" t="s">
        <v>28</v>
      </c>
      <c r="AG703" t="s">
        <v>787</v>
      </c>
      <c r="AH703" t="s">
        <v>788</v>
      </c>
      <c r="AI703" t="s">
        <v>353</v>
      </c>
      <c r="AJ703" t="s">
        <v>1021</v>
      </c>
      <c r="AK703" s="1">
        <v>28800</v>
      </c>
      <c r="AL703" s="1">
        <v>0</v>
      </c>
      <c r="AM703" s="1">
        <v>28800</v>
      </c>
      <c r="AN703" s="1">
        <v>14400</v>
      </c>
      <c r="AO703" s="1">
        <v>0</v>
      </c>
      <c r="AP703" s="1">
        <v>14400</v>
      </c>
      <c r="AQ703" s="1">
        <v>0</v>
      </c>
      <c r="AR703" s="1">
        <v>0</v>
      </c>
      <c r="AS703" s="1">
        <v>0</v>
      </c>
      <c r="AT703" s="1">
        <v>0</v>
      </c>
      <c r="BA703" s="195"/>
      <c r="BB703" s="195"/>
      <c r="BC703" s="195"/>
      <c r="BD703" s="195"/>
      <c r="BE703" s="195"/>
      <c r="BF703" s="195"/>
      <c r="BG703" s="195"/>
      <c r="BH703" s="195"/>
      <c r="BI703" s="195"/>
    </row>
    <row r="704" spans="1:61" x14ac:dyDescent="0.25">
      <c r="A704" t="s">
        <v>343</v>
      </c>
      <c r="B704" t="s">
        <v>344</v>
      </c>
      <c r="C704" t="s">
        <v>1019</v>
      </c>
      <c r="D704" t="s">
        <v>1020</v>
      </c>
      <c r="E704" t="s">
        <v>1021</v>
      </c>
      <c r="F704" t="s">
        <v>28</v>
      </c>
      <c r="AG704" t="s">
        <v>789</v>
      </c>
      <c r="AH704" t="s">
        <v>790</v>
      </c>
      <c r="AI704" t="s">
        <v>353</v>
      </c>
      <c r="AJ704" t="s">
        <v>1021</v>
      </c>
      <c r="AK704" s="1">
        <v>3980.7</v>
      </c>
      <c r="AL704" s="1">
        <v>0</v>
      </c>
      <c r="AM704" s="1">
        <v>3980.7</v>
      </c>
      <c r="AN704" s="1">
        <v>1990.35</v>
      </c>
      <c r="AO704" s="1">
        <v>0</v>
      </c>
      <c r="AP704" s="1">
        <v>1990.35</v>
      </c>
      <c r="AQ704" s="1">
        <v>11153.3</v>
      </c>
      <c r="AR704" s="1">
        <v>0</v>
      </c>
      <c r="AS704" s="1">
        <v>11153.3</v>
      </c>
      <c r="AT704" s="1">
        <v>0</v>
      </c>
      <c r="BA704" s="195"/>
      <c r="BB704" s="195"/>
      <c r="BC704" s="195"/>
      <c r="BD704" s="195"/>
      <c r="BE704" s="195"/>
      <c r="BF704" s="195"/>
      <c r="BG704" s="195"/>
      <c r="BH704" s="195"/>
      <c r="BI704" s="195"/>
    </row>
    <row r="705" spans="1:61" x14ac:dyDescent="0.25">
      <c r="A705" t="s">
        <v>343</v>
      </c>
      <c r="B705" t="s">
        <v>344</v>
      </c>
      <c r="C705" t="s">
        <v>1019</v>
      </c>
      <c r="D705" t="s">
        <v>1020</v>
      </c>
      <c r="E705" t="s">
        <v>1021</v>
      </c>
      <c r="F705" t="s">
        <v>28</v>
      </c>
      <c r="AG705" t="s">
        <v>791</v>
      </c>
      <c r="AH705" t="s">
        <v>792</v>
      </c>
      <c r="AI705" t="s">
        <v>353</v>
      </c>
      <c r="AJ705" t="s">
        <v>1021</v>
      </c>
      <c r="AK705" s="1">
        <v>19448</v>
      </c>
      <c r="AL705" s="1">
        <v>0</v>
      </c>
      <c r="AM705" s="1">
        <v>19448</v>
      </c>
      <c r="AN705" s="1">
        <v>9724</v>
      </c>
      <c r="AO705" s="1">
        <v>0</v>
      </c>
      <c r="AP705" s="1">
        <v>9724</v>
      </c>
      <c r="AQ705" s="1">
        <v>-283</v>
      </c>
      <c r="AR705" s="1">
        <v>0</v>
      </c>
      <c r="AS705" s="1">
        <v>-283</v>
      </c>
      <c r="AT705" s="1">
        <v>0</v>
      </c>
      <c r="BA705" s="195"/>
      <c r="BB705" s="195"/>
      <c r="BC705" s="195"/>
      <c r="BD705" s="195"/>
      <c r="BE705" s="195"/>
      <c r="BF705" s="195"/>
      <c r="BG705" s="195"/>
      <c r="BH705" s="195"/>
      <c r="BI705" s="195"/>
    </row>
    <row r="706" spans="1:61" x14ac:dyDescent="0.25">
      <c r="A706" t="s">
        <v>343</v>
      </c>
      <c r="B706" t="s">
        <v>344</v>
      </c>
      <c r="C706" t="s">
        <v>1019</v>
      </c>
      <c r="D706" t="s">
        <v>1020</v>
      </c>
      <c r="E706" t="s">
        <v>1021</v>
      </c>
      <c r="F706" t="s">
        <v>28</v>
      </c>
      <c r="AG706" t="s">
        <v>793</v>
      </c>
      <c r="AH706" t="s">
        <v>794</v>
      </c>
      <c r="AI706" t="s">
        <v>353</v>
      </c>
      <c r="AJ706" t="s">
        <v>1021</v>
      </c>
      <c r="AK706" s="1">
        <v>25000</v>
      </c>
      <c r="AL706" s="1">
        <v>0</v>
      </c>
      <c r="AM706" s="1">
        <v>25000</v>
      </c>
      <c r="AN706" s="1">
        <v>12500</v>
      </c>
      <c r="AO706" s="1">
        <v>0</v>
      </c>
      <c r="AP706" s="1">
        <v>12500</v>
      </c>
      <c r="AQ706" s="1">
        <v>0</v>
      </c>
      <c r="AR706" s="1">
        <v>0</v>
      </c>
      <c r="AS706" s="1">
        <v>0</v>
      </c>
      <c r="AT706" s="1">
        <v>0</v>
      </c>
      <c r="BA706" s="195"/>
      <c r="BB706" s="195"/>
      <c r="BC706" s="195"/>
      <c r="BD706" s="195"/>
      <c r="BE706" s="195"/>
      <c r="BF706" s="195"/>
      <c r="BG706" s="195"/>
      <c r="BH706" s="195"/>
      <c r="BI706" s="195"/>
    </row>
    <row r="707" spans="1:61" x14ac:dyDescent="0.25">
      <c r="A707" t="s">
        <v>343</v>
      </c>
      <c r="B707" t="s">
        <v>344</v>
      </c>
      <c r="C707" t="s">
        <v>1019</v>
      </c>
      <c r="D707" t="s">
        <v>1020</v>
      </c>
      <c r="E707" t="s">
        <v>1022</v>
      </c>
      <c r="F707" t="s">
        <v>31</v>
      </c>
      <c r="AG707" t="s">
        <v>811</v>
      </c>
      <c r="AH707" t="s">
        <v>812</v>
      </c>
      <c r="AI707" t="s">
        <v>353</v>
      </c>
      <c r="AJ707" t="s">
        <v>1022</v>
      </c>
      <c r="AK707" s="1">
        <v>6000</v>
      </c>
      <c r="AL707" s="1">
        <v>0</v>
      </c>
      <c r="AM707" s="1">
        <v>6000</v>
      </c>
      <c r="AN707" s="1">
        <v>3000</v>
      </c>
      <c r="AO707" s="1">
        <v>0</v>
      </c>
      <c r="AP707" s="1">
        <v>3000</v>
      </c>
      <c r="AQ707" s="1">
        <v>3048</v>
      </c>
      <c r="AR707" s="1">
        <v>0</v>
      </c>
      <c r="AS707" s="1">
        <v>3048</v>
      </c>
      <c r="AT707" s="1">
        <v>0</v>
      </c>
      <c r="BA707" s="195"/>
      <c r="BB707" s="195"/>
      <c r="BC707" s="195"/>
      <c r="BD707" s="195"/>
      <c r="BE707" s="195"/>
      <c r="BF707" s="195"/>
      <c r="BG707" s="195"/>
      <c r="BH707" s="195"/>
      <c r="BI707" s="195"/>
    </row>
    <row r="708" spans="1:61" x14ac:dyDescent="0.25">
      <c r="A708" t="s">
        <v>343</v>
      </c>
      <c r="B708" t="s">
        <v>344</v>
      </c>
      <c r="C708" t="s">
        <v>1019</v>
      </c>
      <c r="D708" t="s">
        <v>1020</v>
      </c>
      <c r="E708" t="s">
        <v>1022</v>
      </c>
      <c r="F708" t="s">
        <v>31</v>
      </c>
      <c r="AG708" t="s">
        <v>813</v>
      </c>
      <c r="AH708" t="s">
        <v>814</v>
      </c>
      <c r="AI708" t="s">
        <v>353</v>
      </c>
      <c r="AJ708" t="s">
        <v>1022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v>0</v>
      </c>
      <c r="AQ708" s="1">
        <v>276.24</v>
      </c>
      <c r="AR708" s="1">
        <v>0</v>
      </c>
      <c r="AS708" s="1">
        <v>276.24</v>
      </c>
      <c r="AT708" s="1">
        <v>0</v>
      </c>
      <c r="BA708" s="195"/>
      <c r="BB708" s="195"/>
      <c r="BC708" s="195"/>
      <c r="BD708" s="195"/>
      <c r="BE708" s="195"/>
      <c r="BF708" s="195"/>
      <c r="BG708" s="195"/>
      <c r="BH708" s="195"/>
      <c r="BI708" s="195"/>
    </row>
    <row r="709" spans="1:61" x14ac:dyDescent="0.25">
      <c r="A709" t="s">
        <v>343</v>
      </c>
      <c r="B709" t="s">
        <v>344</v>
      </c>
      <c r="C709" t="s">
        <v>1019</v>
      </c>
      <c r="D709" t="s">
        <v>1020</v>
      </c>
      <c r="E709" t="s">
        <v>1022</v>
      </c>
      <c r="F709" t="s">
        <v>31</v>
      </c>
      <c r="AG709" t="s">
        <v>815</v>
      </c>
      <c r="AH709" t="s">
        <v>816</v>
      </c>
      <c r="AI709" t="s">
        <v>353</v>
      </c>
      <c r="AJ709" t="s">
        <v>1022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v>0</v>
      </c>
      <c r="AQ709" s="1">
        <v>3126.14</v>
      </c>
      <c r="AR709" s="1">
        <v>0</v>
      </c>
      <c r="AS709" s="1">
        <v>3126.14</v>
      </c>
      <c r="AT709" s="1">
        <v>0</v>
      </c>
      <c r="BA709" s="195"/>
      <c r="BB709" s="195"/>
      <c r="BC709" s="195"/>
      <c r="BD709" s="195"/>
      <c r="BE709" s="195"/>
      <c r="BF709" s="195"/>
      <c r="BG709" s="195"/>
      <c r="BH709" s="195"/>
      <c r="BI709" s="195"/>
    </row>
    <row r="710" spans="1:61" x14ac:dyDescent="0.25">
      <c r="A710" t="s">
        <v>343</v>
      </c>
      <c r="B710" t="s">
        <v>344</v>
      </c>
      <c r="C710" t="s">
        <v>1019</v>
      </c>
      <c r="D710" t="s">
        <v>1020</v>
      </c>
      <c r="E710" t="s">
        <v>1022</v>
      </c>
      <c r="F710" t="s">
        <v>31</v>
      </c>
      <c r="AG710" t="s">
        <v>817</v>
      </c>
      <c r="AH710" t="s">
        <v>818</v>
      </c>
      <c r="AI710" t="s">
        <v>353</v>
      </c>
      <c r="AJ710" t="s">
        <v>1022</v>
      </c>
      <c r="AK710" s="1">
        <v>14677.4</v>
      </c>
      <c r="AL710" s="1">
        <v>0</v>
      </c>
      <c r="AM710" s="1">
        <v>14677.4</v>
      </c>
      <c r="AN710" s="1">
        <v>7338.7</v>
      </c>
      <c r="AO710" s="1">
        <v>0</v>
      </c>
      <c r="AP710" s="1">
        <v>7338.7</v>
      </c>
      <c r="AQ710" s="1">
        <v>34725.339999999997</v>
      </c>
      <c r="AR710" s="1">
        <v>0</v>
      </c>
      <c r="AS710" s="1">
        <v>34725.339999999997</v>
      </c>
      <c r="AT710" s="1">
        <v>0</v>
      </c>
      <c r="BA710" s="195"/>
      <c r="BB710" s="195"/>
      <c r="BC710" s="195"/>
      <c r="BD710" s="195"/>
      <c r="BE710" s="195"/>
      <c r="BF710" s="195"/>
      <c r="BG710" s="195"/>
      <c r="BH710" s="195"/>
      <c r="BI710" s="195"/>
    </row>
    <row r="711" spans="1:61" x14ac:dyDescent="0.25">
      <c r="A711" t="s">
        <v>343</v>
      </c>
      <c r="B711" t="s">
        <v>344</v>
      </c>
      <c r="C711" t="s">
        <v>1019</v>
      </c>
      <c r="D711" t="s">
        <v>1020</v>
      </c>
      <c r="E711" t="s">
        <v>1022</v>
      </c>
      <c r="F711" t="s">
        <v>31</v>
      </c>
      <c r="AG711" t="s">
        <v>819</v>
      </c>
      <c r="AH711" t="s">
        <v>820</v>
      </c>
      <c r="AI711" t="s">
        <v>353</v>
      </c>
      <c r="AJ711" t="s">
        <v>1022</v>
      </c>
      <c r="AK711" s="1">
        <v>12734</v>
      </c>
      <c r="AL711" s="1">
        <v>0</v>
      </c>
      <c r="AM711" s="1">
        <v>12734</v>
      </c>
      <c r="AN711" s="1">
        <v>6367</v>
      </c>
      <c r="AO711" s="1">
        <v>0</v>
      </c>
      <c r="AP711" s="1">
        <v>6367</v>
      </c>
      <c r="AQ711" s="1">
        <v>10932</v>
      </c>
      <c r="AR711" s="1">
        <v>0</v>
      </c>
      <c r="AS711" s="1">
        <v>10932</v>
      </c>
      <c r="AT711" s="1">
        <v>0</v>
      </c>
      <c r="BA711" s="195"/>
      <c r="BB711" s="195"/>
      <c r="BC711" s="195"/>
      <c r="BD711" s="195"/>
      <c r="BE711" s="195"/>
      <c r="BF711" s="195"/>
      <c r="BG711" s="195"/>
      <c r="BH711" s="195"/>
      <c r="BI711" s="195"/>
    </row>
    <row r="712" spans="1:61" x14ac:dyDescent="0.25">
      <c r="A712" t="s">
        <v>343</v>
      </c>
      <c r="B712" t="s">
        <v>344</v>
      </c>
      <c r="C712" t="s">
        <v>1019</v>
      </c>
      <c r="D712" t="s">
        <v>1020</v>
      </c>
      <c r="E712" t="s">
        <v>1023</v>
      </c>
      <c r="F712" t="s">
        <v>47</v>
      </c>
      <c r="AG712" t="s">
        <v>704</v>
      </c>
      <c r="AH712" t="s">
        <v>705</v>
      </c>
      <c r="AI712" t="s">
        <v>353</v>
      </c>
      <c r="AJ712" t="s">
        <v>1023</v>
      </c>
      <c r="AK712" s="1">
        <v>-8965.8799999999992</v>
      </c>
      <c r="AL712" s="1">
        <v>0</v>
      </c>
      <c r="AM712" s="1">
        <v>-8965.8799999999992</v>
      </c>
      <c r="AN712" s="1">
        <v>-4482.9399999999996</v>
      </c>
      <c r="AO712" s="1">
        <v>0</v>
      </c>
      <c r="AP712" s="1">
        <v>-4482.9399999999996</v>
      </c>
      <c r="AQ712" s="1">
        <v>-1355.08</v>
      </c>
      <c r="AR712" s="1">
        <v>0</v>
      </c>
      <c r="AS712" s="1">
        <v>-1355.08</v>
      </c>
      <c r="AT712" s="1">
        <v>0</v>
      </c>
      <c r="BA712" s="195"/>
      <c r="BB712" s="195"/>
      <c r="BC712" s="195"/>
      <c r="BD712" s="195"/>
      <c r="BE712" s="195"/>
      <c r="BF712" s="195"/>
      <c r="BG712" s="195"/>
      <c r="BH712" s="195"/>
      <c r="BI712" s="195"/>
    </row>
    <row r="713" spans="1:61" x14ac:dyDescent="0.25">
      <c r="A713" t="s">
        <v>343</v>
      </c>
      <c r="B713" t="s">
        <v>344</v>
      </c>
      <c r="C713" t="s">
        <v>1019</v>
      </c>
      <c r="D713" t="s">
        <v>1020</v>
      </c>
      <c r="E713" t="s">
        <v>1023</v>
      </c>
      <c r="F713" t="s">
        <v>47</v>
      </c>
      <c r="AG713" t="s">
        <v>706</v>
      </c>
      <c r="AH713" t="s">
        <v>705</v>
      </c>
      <c r="AI713" t="s">
        <v>353</v>
      </c>
      <c r="AJ713" t="s">
        <v>1023</v>
      </c>
      <c r="AK713" s="1">
        <v>-17781.04</v>
      </c>
      <c r="AL713" s="1">
        <v>0</v>
      </c>
      <c r="AM713" s="1">
        <v>-17781.04</v>
      </c>
      <c r="AN713" s="1">
        <v>-8890.52</v>
      </c>
      <c r="AO713" s="1">
        <v>0</v>
      </c>
      <c r="AP713" s="1">
        <v>-8890.52</v>
      </c>
      <c r="AQ713" s="1">
        <v>-9932.77</v>
      </c>
      <c r="AR713" s="1">
        <v>0</v>
      </c>
      <c r="AS713" s="1">
        <v>-9932.77</v>
      </c>
      <c r="AT713" s="1">
        <v>0</v>
      </c>
      <c r="BA713" s="195"/>
      <c r="BB713" s="195"/>
      <c r="BC713" s="195"/>
      <c r="BD713" s="195"/>
      <c r="BE713" s="195"/>
      <c r="BF713" s="195"/>
      <c r="BG713" s="195"/>
      <c r="BH713" s="195"/>
      <c r="BI713" s="195"/>
    </row>
    <row r="714" spans="1:61" x14ac:dyDescent="0.25">
      <c r="A714" t="s">
        <v>343</v>
      </c>
      <c r="B714" t="s">
        <v>344</v>
      </c>
      <c r="C714" t="s">
        <v>1019</v>
      </c>
      <c r="D714" t="s">
        <v>1020</v>
      </c>
      <c r="E714" t="s">
        <v>1024</v>
      </c>
      <c r="F714" t="s">
        <v>48</v>
      </c>
      <c r="AG714" t="s">
        <v>795</v>
      </c>
      <c r="AH714" t="s">
        <v>796</v>
      </c>
      <c r="AI714" t="s">
        <v>353</v>
      </c>
      <c r="AJ714" t="s">
        <v>1024</v>
      </c>
      <c r="AK714" s="1">
        <v>76.72</v>
      </c>
      <c r="AL714" s="1">
        <v>0</v>
      </c>
      <c r="AM714" s="1">
        <v>76.72</v>
      </c>
      <c r="AN714" s="1">
        <v>38.36</v>
      </c>
      <c r="AO714" s="1">
        <v>0</v>
      </c>
      <c r="AP714" s="1">
        <v>38.36</v>
      </c>
      <c r="AQ714" s="1">
        <v>2912.94</v>
      </c>
      <c r="AR714" s="1">
        <v>0</v>
      </c>
      <c r="AS714" s="1">
        <v>2912.94</v>
      </c>
      <c r="AT714" s="1">
        <v>0</v>
      </c>
      <c r="BA714" s="195"/>
      <c r="BB714" s="195"/>
      <c r="BC714" s="195"/>
      <c r="BD714" s="195"/>
      <c r="BE714" s="195"/>
      <c r="BF714" s="195"/>
      <c r="BG714" s="195"/>
      <c r="BH714" s="195"/>
      <c r="BI714" s="195"/>
    </row>
    <row r="715" spans="1:61" x14ac:dyDescent="0.25">
      <c r="A715" t="s">
        <v>343</v>
      </c>
      <c r="B715" t="s">
        <v>344</v>
      </c>
      <c r="C715" t="s">
        <v>1019</v>
      </c>
      <c r="D715" t="s">
        <v>1020</v>
      </c>
      <c r="E715" t="s">
        <v>1025</v>
      </c>
      <c r="F715" t="s">
        <v>34</v>
      </c>
      <c r="AG715" t="s">
        <v>797</v>
      </c>
      <c r="AH715" t="s">
        <v>798</v>
      </c>
      <c r="AI715" t="s">
        <v>353</v>
      </c>
      <c r="AJ715" t="s">
        <v>1025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v>0</v>
      </c>
      <c r="AQ715" s="1">
        <v>950</v>
      </c>
      <c r="AR715" s="1">
        <v>0</v>
      </c>
      <c r="AS715" s="1">
        <v>950</v>
      </c>
      <c r="AT715" s="1">
        <v>0</v>
      </c>
      <c r="BA715" s="195"/>
      <c r="BB715" s="195"/>
      <c r="BC715" s="195"/>
      <c r="BD715" s="195"/>
      <c r="BE715" s="195"/>
      <c r="BF715" s="195"/>
      <c r="BG715" s="195"/>
      <c r="BH715" s="195"/>
      <c r="BI715" s="195"/>
    </row>
    <row r="716" spans="1:61" x14ac:dyDescent="0.25">
      <c r="A716" t="s">
        <v>343</v>
      </c>
      <c r="B716" t="s">
        <v>344</v>
      </c>
      <c r="C716" t="s">
        <v>1019</v>
      </c>
      <c r="D716" t="s">
        <v>1020</v>
      </c>
      <c r="E716" t="s">
        <v>1025</v>
      </c>
      <c r="F716" t="s">
        <v>34</v>
      </c>
      <c r="AG716" t="s">
        <v>799</v>
      </c>
      <c r="AH716" t="s">
        <v>800</v>
      </c>
      <c r="AI716" t="s">
        <v>353</v>
      </c>
      <c r="AJ716" t="s">
        <v>1025</v>
      </c>
      <c r="AK716" s="1">
        <v>8659.5</v>
      </c>
      <c r="AL716" s="1">
        <v>0</v>
      </c>
      <c r="AM716" s="1">
        <v>8659.5</v>
      </c>
      <c r="AN716" s="1">
        <v>4329.75</v>
      </c>
      <c r="AO716" s="1">
        <v>0</v>
      </c>
      <c r="AP716" s="1">
        <v>4329.75</v>
      </c>
      <c r="AQ716" s="1">
        <v>2480.04</v>
      </c>
      <c r="AR716" s="1">
        <v>0</v>
      </c>
      <c r="AS716" s="1">
        <v>2480.04</v>
      </c>
      <c r="AT716" s="1">
        <v>0</v>
      </c>
      <c r="BA716" s="195"/>
      <c r="BB716" s="195"/>
      <c r="BC716" s="195"/>
      <c r="BD716" s="195"/>
      <c r="BE716" s="195"/>
      <c r="BF716" s="195"/>
      <c r="BG716" s="195"/>
      <c r="BH716" s="195"/>
      <c r="BI716" s="195"/>
    </row>
    <row r="717" spans="1:61" x14ac:dyDescent="0.25">
      <c r="A717" t="s">
        <v>343</v>
      </c>
      <c r="B717" t="s">
        <v>344</v>
      </c>
      <c r="C717" t="s">
        <v>1019</v>
      </c>
      <c r="D717" t="s">
        <v>1020</v>
      </c>
      <c r="E717" t="s">
        <v>1025</v>
      </c>
      <c r="F717" t="s">
        <v>34</v>
      </c>
      <c r="AG717" t="s">
        <v>801</v>
      </c>
      <c r="AH717" t="s">
        <v>802</v>
      </c>
      <c r="AI717" t="s">
        <v>353</v>
      </c>
      <c r="AJ717" t="s">
        <v>1025</v>
      </c>
      <c r="AK717" s="1">
        <v>81421.399999999994</v>
      </c>
      <c r="AL717" s="1">
        <v>0</v>
      </c>
      <c r="AM717" s="1">
        <v>81421.399999999994</v>
      </c>
      <c r="AN717" s="1">
        <v>40710.699999999997</v>
      </c>
      <c r="AO717" s="1">
        <v>0</v>
      </c>
      <c r="AP717" s="1">
        <v>40710.699999999997</v>
      </c>
      <c r="AQ717" s="1">
        <v>27022.240000000002</v>
      </c>
      <c r="AR717" s="1">
        <v>0</v>
      </c>
      <c r="AS717" s="1">
        <v>27022.240000000002</v>
      </c>
      <c r="AT717" s="1">
        <v>0</v>
      </c>
      <c r="BA717" s="195"/>
      <c r="BB717" s="195"/>
      <c r="BC717" s="195"/>
      <c r="BD717" s="195"/>
      <c r="BE717" s="195"/>
      <c r="BF717" s="195"/>
      <c r="BG717" s="195"/>
      <c r="BH717" s="195"/>
      <c r="BI717" s="195"/>
    </row>
    <row r="718" spans="1:61" x14ac:dyDescent="0.25">
      <c r="A718" t="s">
        <v>343</v>
      </c>
      <c r="B718" t="s">
        <v>344</v>
      </c>
      <c r="C718" t="s">
        <v>1019</v>
      </c>
      <c r="D718" t="s">
        <v>1020</v>
      </c>
      <c r="E718" t="s">
        <v>1025</v>
      </c>
      <c r="F718" t="s">
        <v>34</v>
      </c>
      <c r="AG718" t="s">
        <v>803</v>
      </c>
      <c r="AH718" t="s">
        <v>804</v>
      </c>
      <c r="AI718" t="s">
        <v>353</v>
      </c>
      <c r="AJ718" t="s">
        <v>1025</v>
      </c>
      <c r="AK718" s="1">
        <v>0.16</v>
      </c>
      <c r="AL718" s="1">
        <v>0</v>
      </c>
      <c r="AM718" s="1">
        <v>0.16</v>
      </c>
      <c r="AN718" s="1">
        <v>0.08</v>
      </c>
      <c r="AO718" s="1">
        <v>0</v>
      </c>
      <c r="AP718" s="1">
        <v>0.08</v>
      </c>
      <c r="AQ718" s="1">
        <v>0</v>
      </c>
      <c r="AR718" s="1">
        <v>0</v>
      </c>
      <c r="AS718" s="1">
        <v>0</v>
      </c>
      <c r="AT718" s="1">
        <v>0</v>
      </c>
      <c r="BA718" s="195"/>
      <c r="BB718" s="195"/>
      <c r="BC718" s="195"/>
      <c r="BD718" s="195"/>
      <c r="BE718" s="195"/>
      <c r="BF718" s="195"/>
      <c r="BG718" s="195"/>
      <c r="BH718" s="195"/>
      <c r="BI718" s="195"/>
    </row>
    <row r="719" spans="1:61" x14ac:dyDescent="0.25">
      <c r="A719" t="s">
        <v>343</v>
      </c>
      <c r="B719" t="s">
        <v>344</v>
      </c>
      <c r="C719" t="s">
        <v>1019</v>
      </c>
      <c r="D719" t="s">
        <v>1020</v>
      </c>
      <c r="E719" t="s">
        <v>1026</v>
      </c>
      <c r="F719" t="s">
        <v>35</v>
      </c>
      <c r="AG719" t="s">
        <v>707</v>
      </c>
      <c r="AH719" t="s">
        <v>708</v>
      </c>
      <c r="AI719" t="s">
        <v>353</v>
      </c>
      <c r="AJ719" t="s">
        <v>1026</v>
      </c>
      <c r="AK719" s="1">
        <v>-2016.8</v>
      </c>
      <c r="AL719" s="1">
        <v>0</v>
      </c>
      <c r="AM719" s="1">
        <v>-2016.8</v>
      </c>
      <c r="AN719" s="1">
        <v>-1008.4</v>
      </c>
      <c r="AO719" s="1">
        <v>0</v>
      </c>
      <c r="AP719" s="1">
        <v>-1008.4</v>
      </c>
      <c r="AQ719" s="1">
        <v>-3229.57</v>
      </c>
      <c r="AR719" s="1">
        <v>0</v>
      </c>
      <c r="AS719" s="1">
        <v>-3229.57</v>
      </c>
      <c r="AT719" s="1">
        <v>0</v>
      </c>
      <c r="BA719" s="195"/>
      <c r="BB719" s="195"/>
      <c r="BC719" s="195"/>
      <c r="BD719" s="195"/>
      <c r="BE719" s="195"/>
      <c r="BF719" s="195"/>
      <c r="BG719" s="195"/>
      <c r="BH719" s="195"/>
      <c r="BI719" s="195"/>
    </row>
    <row r="720" spans="1:61" x14ac:dyDescent="0.25">
      <c r="A720" t="s">
        <v>343</v>
      </c>
      <c r="B720" t="s">
        <v>344</v>
      </c>
      <c r="C720" t="s">
        <v>1019</v>
      </c>
      <c r="D720" t="s">
        <v>1020</v>
      </c>
      <c r="E720" t="s">
        <v>1026</v>
      </c>
      <c r="F720" t="s">
        <v>35</v>
      </c>
      <c r="AG720" t="s">
        <v>709</v>
      </c>
      <c r="AH720" t="s">
        <v>710</v>
      </c>
      <c r="AI720" t="s">
        <v>353</v>
      </c>
      <c r="AJ720" t="s">
        <v>1026</v>
      </c>
      <c r="AK720" s="1">
        <v>-0.26</v>
      </c>
      <c r="AL720" s="1">
        <v>0</v>
      </c>
      <c r="AM720" s="1">
        <v>-0.26</v>
      </c>
      <c r="AN720" s="1">
        <v>-0.13</v>
      </c>
      <c r="AO720" s="1">
        <v>0</v>
      </c>
      <c r="AP720" s="1">
        <v>-0.13</v>
      </c>
      <c r="AQ720" s="1">
        <v>0</v>
      </c>
      <c r="AR720" s="1">
        <v>0</v>
      </c>
      <c r="AS720" s="1">
        <v>0</v>
      </c>
      <c r="AT720" s="1">
        <v>0</v>
      </c>
      <c r="BA720" s="195"/>
      <c r="BB720" s="195"/>
      <c r="BC720" s="195"/>
      <c r="BD720" s="195"/>
      <c r="BE720" s="195"/>
      <c r="BF720" s="195"/>
      <c r="BG720" s="195"/>
      <c r="BH720" s="195"/>
      <c r="BI720" s="195"/>
    </row>
    <row r="721" spans="1:61" x14ac:dyDescent="0.25">
      <c r="A721" t="s">
        <v>343</v>
      </c>
      <c r="B721" t="s">
        <v>344</v>
      </c>
      <c r="C721" t="s">
        <v>1019</v>
      </c>
      <c r="D721" t="s">
        <v>1020</v>
      </c>
      <c r="E721" t="s">
        <v>1027</v>
      </c>
      <c r="F721" t="s">
        <v>37</v>
      </c>
      <c r="AG721" t="s">
        <v>805</v>
      </c>
      <c r="AH721" t="s">
        <v>806</v>
      </c>
      <c r="AI721" t="s">
        <v>353</v>
      </c>
      <c r="AJ721" t="s">
        <v>1027</v>
      </c>
      <c r="AK721" s="1">
        <v>95785.84</v>
      </c>
      <c r="AL721" s="1">
        <v>0</v>
      </c>
      <c r="AM721" s="1">
        <v>95785.84</v>
      </c>
      <c r="AN721" s="1">
        <v>47892.92</v>
      </c>
      <c r="AO721" s="1">
        <v>0</v>
      </c>
      <c r="AP721" s="1">
        <v>47892.92</v>
      </c>
      <c r="AQ721" s="1">
        <v>9.9499999999999993</v>
      </c>
      <c r="AR721" s="1">
        <v>0</v>
      </c>
      <c r="AS721" s="1">
        <v>9.9499999999999993</v>
      </c>
      <c r="AT721" s="1">
        <v>0</v>
      </c>
      <c r="BA721" s="195"/>
      <c r="BB721" s="195"/>
      <c r="BC721" s="195"/>
      <c r="BD721" s="195"/>
      <c r="BE721" s="195"/>
      <c r="BF721" s="195"/>
      <c r="BG721" s="195"/>
      <c r="BH721" s="195"/>
      <c r="BI721" s="195"/>
    </row>
    <row r="722" spans="1:61" x14ac:dyDescent="0.25">
      <c r="A722" t="s">
        <v>343</v>
      </c>
      <c r="B722" t="s">
        <v>344</v>
      </c>
      <c r="C722" t="s">
        <v>1019</v>
      </c>
      <c r="D722" t="s">
        <v>1020</v>
      </c>
      <c r="E722" t="s">
        <v>1028</v>
      </c>
      <c r="F722" t="s">
        <v>38</v>
      </c>
      <c r="AG722" t="s">
        <v>711</v>
      </c>
      <c r="AH722" t="s">
        <v>712</v>
      </c>
      <c r="AI722" t="s">
        <v>353</v>
      </c>
      <c r="AJ722" t="s">
        <v>1028</v>
      </c>
      <c r="AK722" s="1">
        <v>-360</v>
      </c>
      <c r="AL722" s="1">
        <v>0</v>
      </c>
      <c r="AM722" s="1">
        <v>-360</v>
      </c>
      <c r="AN722" s="1">
        <v>-180</v>
      </c>
      <c r="AO722" s="1">
        <v>0</v>
      </c>
      <c r="AP722" s="1">
        <v>-180</v>
      </c>
      <c r="AQ722" s="1">
        <v>-90</v>
      </c>
      <c r="AR722" s="1">
        <v>0</v>
      </c>
      <c r="AS722" s="1">
        <v>-90</v>
      </c>
      <c r="AT722" s="1">
        <v>0</v>
      </c>
      <c r="BA722" s="195"/>
      <c r="BB722" s="195"/>
      <c r="BC722" s="195"/>
      <c r="BD722" s="195"/>
      <c r="BE722" s="195"/>
      <c r="BF722" s="195"/>
      <c r="BG722" s="195"/>
      <c r="BH722" s="195"/>
      <c r="BI722" s="195"/>
    </row>
    <row r="723" spans="1:61" x14ac:dyDescent="0.25">
      <c r="A723" t="s">
        <v>343</v>
      </c>
      <c r="B723" t="s">
        <v>344</v>
      </c>
      <c r="C723" t="s">
        <v>1019</v>
      </c>
      <c r="D723" t="s">
        <v>1020</v>
      </c>
      <c r="E723" t="s">
        <v>1028</v>
      </c>
      <c r="F723" t="s">
        <v>38</v>
      </c>
      <c r="AG723" t="s">
        <v>713</v>
      </c>
      <c r="AH723" t="s">
        <v>714</v>
      </c>
      <c r="AI723" t="s">
        <v>353</v>
      </c>
      <c r="AJ723" t="s">
        <v>1028</v>
      </c>
      <c r="AK723" s="1">
        <v>-9.76</v>
      </c>
      <c r="AL723" s="1">
        <v>0</v>
      </c>
      <c r="AM723" s="1">
        <v>-9.76</v>
      </c>
      <c r="AN723" s="1">
        <v>-4.88</v>
      </c>
      <c r="AO723" s="1">
        <v>0</v>
      </c>
      <c r="AP723" s="1">
        <v>-4.88</v>
      </c>
      <c r="AQ723" s="1">
        <v>-4816.53</v>
      </c>
      <c r="AR723" s="1">
        <v>0</v>
      </c>
      <c r="AS723" s="1">
        <v>-4816.53</v>
      </c>
      <c r="AT723" s="1">
        <v>0</v>
      </c>
      <c r="BA723" s="195"/>
      <c r="BB723" s="195"/>
      <c r="BC723" s="195"/>
      <c r="BD723" s="195"/>
      <c r="BE723" s="195"/>
      <c r="BF723" s="195"/>
      <c r="BG723" s="195"/>
      <c r="BH723" s="195"/>
      <c r="BI723" s="195"/>
    </row>
    <row r="724" spans="1:61" x14ac:dyDescent="0.25">
      <c r="A724" t="s">
        <v>343</v>
      </c>
      <c r="B724" t="s">
        <v>344</v>
      </c>
      <c r="C724" t="s">
        <v>1019</v>
      </c>
      <c r="D724" t="s">
        <v>1020</v>
      </c>
      <c r="E724" t="s">
        <v>1029</v>
      </c>
      <c r="F724" t="s">
        <v>49</v>
      </c>
      <c r="AG724" t="s">
        <v>733</v>
      </c>
      <c r="AH724" t="s">
        <v>734</v>
      </c>
      <c r="AI724" t="s">
        <v>353</v>
      </c>
      <c r="AJ724" t="s">
        <v>1029</v>
      </c>
      <c r="AK724" s="1">
        <v>-481680</v>
      </c>
      <c r="AL724" s="1">
        <v>0</v>
      </c>
      <c r="AM724" s="1">
        <v>-481680</v>
      </c>
      <c r="AN724" s="1">
        <v>-240840</v>
      </c>
      <c r="AO724" s="1">
        <v>0</v>
      </c>
      <c r="AP724" s="1">
        <v>-240840</v>
      </c>
      <c r="AQ724" s="1">
        <v>-231859</v>
      </c>
      <c r="AR724" s="1">
        <v>0</v>
      </c>
      <c r="AS724" s="1">
        <v>-231859</v>
      </c>
      <c r="AT724" s="1">
        <v>0</v>
      </c>
      <c r="BA724" s="195"/>
      <c r="BB724" s="195"/>
      <c r="BC724" s="195"/>
      <c r="BD724" s="195"/>
      <c r="BE724" s="195"/>
      <c r="BF724" s="195"/>
      <c r="BG724" s="195"/>
      <c r="BH724" s="195"/>
      <c r="BI724" s="195"/>
    </row>
    <row r="725" spans="1:61" x14ac:dyDescent="0.25">
      <c r="A725" t="s">
        <v>343</v>
      </c>
      <c r="B725" t="s">
        <v>344</v>
      </c>
      <c r="C725" t="s">
        <v>1019</v>
      </c>
      <c r="D725" t="s">
        <v>1020</v>
      </c>
      <c r="E725" t="s">
        <v>1030</v>
      </c>
      <c r="F725" t="s">
        <v>41</v>
      </c>
      <c r="AG725" t="s">
        <v>735</v>
      </c>
      <c r="AH725" t="s">
        <v>736</v>
      </c>
      <c r="AI725" t="s">
        <v>353</v>
      </c>
      <c r="AJ725" t="s">
        <v>1030</v>
      </c>
      <c r="AK725" s="1">
        <v>-1097112</v>
      </c>
      <c r="AL725" s="1">
        <v>0</v>
      </c>
      <c r="AM725" s="1">
        <v>-1097112</v>
      </c>
      <c r="AN725" s="1">
        <v>-548556</v>
      </c>
      <c r="AO725" s="1">
        <v>0</v>
      </c>
      <c r="AP725" s="1">
        <v>-548556</v>
      </c>
      <c r="AQ725" s="1">
        <v>-530069</v>
      </c>
      <c r="AR725" s="1">
        <v>0</v>
      </c>
      <c r="AS725" s="1">
        <v>-530069</v>
      </c>
      <c r="AT725" s="1">
        <v>0</v>
      </c>
      <c r="BA725" s="195"/>
      <c r="BB725" s="195"/>
      <c r="BC725" s="195"/>
      <c r="BD725" s="195"/>
      <c r="BE725" s="195"/>
      <c r="BF725" s="195"/>
      <c r="BG725" s="195"/>
      <c r="BH725" s="195"/>
      <c r="BI725" s="195"/>
    </row>
    <row r="726" spans="1:61" x14ac:dyDescent="0.25">
      <c r="A726" t="s">
        <v>343</v>
      </c>
      <c r="B726" t="s">
        <v>344</v>
      </c>
      <c r="C726" t="s">
        <v>1031</v>
      </c>
      <c r="D726" t="s">
        <v>1032</v>
      </c>
      <c r="E726" t="s">
        <v>1033</v>
      </c>
      <c r="F726" t="s">
        <v>1034</v>
      </c>
      <c r="G726" t="s">
        <v>1035</v>
      </c>
      <c r="H726" t="s">
        <v>68</v>
      </c>
      <c r="AG726" t="s">
        <v>408</v>
      </c>
      <c r="AH726" t="s">
        <v>409</v>
      </c>
      <c r="AI726" t="s">
        <v>353</v>
      </c>
      <c r="AJ726" t="s">
        <v>1035</v>
      </c>
      <c r="AK726" s="1">
        <v>63147.26</v>
      </c>
      <c r="AL726" s="1">
        <v>0</v>
      </c>
      <c r="AM726" s="1">
        <v>63147.26</v>
      </c>
      <c r="AN726" s="1">
        <v>22814</v>
      </c>
      <c r="AO726" s="1">
        <v>0</v>
      </c>
      <c r="AP726" s="1">
        <v>22814</v>
      </c>
      <c r="AQ726" s="1">
        <v>13090</v>
      </c>
      <c r="AR726" s="1">
        <v>0</v>
      </c>
      <c r="AS726" s="1">
        <v>13090</v>
      </c>
      <c r="AT726" s="1">
        <v>0</v>
      </c>
      <c r="BA726" s="195"/>
      <c r="BB726" s="195"/>
      <c r="BC726" s="195"/>
      <c r="BD726" s="195"/>
      <c r="BE726" s="195"/>
      <c r="BF726" s="195"/>
      <c r="BG726" s="195"/>
      <c r="BH726" s="195"/>
      <c r="BI726" s="195"/>
    </row>
    <row r="727" spans="1:61" x14ac:dyDescent="0.25">
      <c r="A727" t="s">
        <v>343</v>
      </c>
      <c r="B727" t="s">
        <v>344</v>
      </c>
      <c r="C727" t="s">
        <v>1031</v>
      </c>
      <c r="D727" t="s">
        <v>1032</v>
      </c>
      <c r="E727" t="s">
        <v>1033</v>
      </c>
      <c r="F727" t="s">
        <v>1034</v>
      </c>
      <c r="G727" t="s">
        <v>1035</v>
      </c>
      <c r="H727" t="s">
        <v>68</v>
      </c>
      <c r="AG727" t="s">
        <v>411</v>
      </c>
      <c r="AH727" t="s">
        <v>412</v>
      </c>
      <c r="AI727" t="s">
        <v>353</v>
      </c>
      <c r="AJ727" t="s">
        <v>1035</v>
      </c>
      <c r="AK727" s="1">
        <v>92599.02</v>
      </c>
      <c r="AL727" s="1">
        <v>0</v>
      </c>
      <c r="AM727" s="1">
        <v>92599.02</v>
      </c>
      <c r="AN727" s="1">
        <v>55261.51</v>
      </c>
      <c r="AO727" s="1">
        <v>0</v>
      </c>
      <c r="AP727" s="1">
        <v>55261.51</v>
      </c>
      <c r="AQ727" s="1">
        <v>95534.53</v>
      </c>
      <c r="AR727" s="1">
        <v>0</v>
      </c>
      <c r="AS727" s="1">
        <v>95534.53</v>
      </c>
      <c r="AT727" s="1">
        <v>0</v>
      </c>
      <c r="BA727" s="195"/>
      <c r="BB727" s="195"/>
      <c r="BC727" s="195"/>
      <c r="BD727" s="195"/>
      <c r="BE727" s="195"/>
      <c r="BF727" s="195"/>
      <c r="BG727" s="195"/>
      <c r="BH727" s="195"/>
      <c r="BI727" s="195"/>
    </row>
    <row r="728" spans="1:61" x14ac:dyDescent="0.25">
      <c r="A728" t="s">
        <v>343</v>
      </c>
      <c r="B728" t="s">
        <v>344</v>
      </c>
      <c r="C728" t="s">
        <v>1031</v>
      </c>
      <c r="D728" t="s">
        <v>1032</v>
      </c>
      <c r="E728" t="s">
        <v>1033</v>
      </c>
      <c r="F728" t="s">
        <v>1034</v>
      </c>
      <c r="G728" t="s">
        <v>1035</v>
      </c>
      <c r="H728" t="s">
        <v>68</v>
      </c>
      <c r="AG728" t="s">
        <v>413</v>
      </c>
      <c r="AH728" t="s">
        <v>414</v>
      </c>
      <c r="AI728" t="s">
        <v>353</v>
      </c>
      <c r="AJ728" t="s">
        <v>1035</v>
      </c>
      <c r="AK728" s="1">
        <v>-26195.84</v>
      </c>
      <c r="AL728" s="1">
        <v>0</v>
      </c>
      <c r="AM728" s="1">
        <v>-26195.84</v>
      </c>
      <c r="AN728" s="1">
        <v>-6097.92</v>
      </c>
      <c r="AO728" s="1">
        <v>0</v>
      </c>
      <c r="AP728" s="1">
        <v>-6097.92</v>
      </c>
      <c r="AQ728" s="1">
        <v>0</v>
      </c>
      <c r="AR728" s="1">
        <v>0</v>
      </c>
      <c r="AS728" s="1">
        <v>0</v>
      </c>
      <c r="AT728" s="1">
        <v>0</v>
      </c>
      <c r="BA728" s="195"/>
      <c r="BB728" s="195"/>
      <c r="BC728" s="195"/>
      <c r="BD728" s="195"/>
      <c r="BE728" s="195"/>
      <c r="BF728" s="195"/>
      <c r="BG728" s="195"/>
      <c r="BH728" s="195"/>
      <c r="BI728" s="195"/>
    </row>
    <row r="729" spans="1:61" x14ac:dyDescent="0.25">
      <c r="A729" t="s">
        <v>343</v>
      </c>
      <c r="B729" t="s">
        <v>344</v>
      </c>
      <c r="C729" t="s">
        <v>1031</v>
      </c>
      <c r="D729" t="s">
        <v>1032</v>
      </c>
      <c r="E729" t="s">
        <v>1033</v>
      </c>
      <c r="F729" t="s">
        <v>1034</v>
      </c>
      <c r="G729" t="s">
        <v>1036</v>
      </c>
      <c r="H729" t="s">
        <v>1037</v>
      </c>
      <c r="AG729" t="s">
        <v>418</v>
      </c>
      <c r="AH729" t="s">
        <v>419</v>
      </c>
      <c r="AI729" t="s">
        <v>353</v>
      </c>
      <c r="AJ729" t="s">
        <v>1036</v>
      </c>
      <c r="AK729" s="1">
        <v>519221.1</v>
      </c>
      <c r="AL729" s="1">
        <v>0</v>
      </c>
      <c r="AM729" s="1">
        <v>519221.1</v>
      </c>
      <c r="AN729" s="1">
        <v>244610.55</v>
      </c>
      <c r="AO729" s="1">
        <v>0</v>
      </c>
      <c r="AP729" s="1">
        <v>244610.55</v>
      </c>
      <c r="AQ729" s="1">
        <v>74781.11</v>
      </c>
      <c r="AR729" s="1">
        <v>0</v>
      </c>
      <c r="AS729" s="1">
        <v>74781.11</v>
      </c>
      <c r="AT729" s="1">
        <v>0</v>
      </c>
      <c r="BA729" s="195"/>
      <c r="BB729" s="195"/>
      <c r="BC729" s="195"/>
      <c r="BD729" s="195"/>
      <c r="BE729" s="195"/>
      <c r="BF729" s="195"/>
      <c r="BG729" s="195"/>
      <c r="BH729" s="195"/>
      <c r="BI729" s="195"/>
    </row>
    <row r="730" spans="1:61" x14ac:dyDescent="0.25">
      <c r="A730" t="s">
        <v>343</v>
      </c>
      <c r="B730" t="s">
        <v>344</v>
      </c>
      <c r="C730" t="s">
        <v>1031</v>
      </c>
      <c r="D730" t="s">
        <v>1032</v>
      </c>
      <c r="E730" t="s">
        <v>1033</v>
      </c>
      <c r="F730" t="s">
        <v>1034</v>
      </c>
      <c r="G730" t="s">
        <v>1036</v>
      </c>
      <c r="H730" t="s">
        <v>1037</v>
      </c>
      <c r="AG730" t="s">
        <v>420</v>
      </c>
      <c r="AH730" t="s">
        <v>421</v>
      </c>
      <c r="AI730" t="s">
        <v>353</v>
      </c>
      <c r="AJ730" t="s">
        <v>1036</v>
      </c>
      <c r="AK730" s="1">
        <v>4222766.46</v>
      </c>
      <c r="AL730" s="1">
        <v>0</v>
      </c>
      <c r="AM730" s="1">
        <v>4222766.46</v>
      </c>
      <c r="AN730" s="1">
        <v>2111298.2200000002</v>
      </c>
      <c r="AO730" s="1">
        <v>0</v>
      </c>
      <c r="AP730" s="1">
        <v>2111298.2200000002</v>
      </c>
      <c r="AQ730" s="1">
        <v>2026954.62</v>
      </c>
      <c r="AR730" s="1">
        <v>0</v>
      </c>
      <c r="AS730" s="1">
        <v>2026954.62</v>
      </c>
      <c r="AT730" s="1">
        <v>0</v>
      </c>
      <c r="BA730" s="195"/>
      <c r="BB730" s="195"/>
      <c r="BC730" s="195"/>
      <c r="BD730" s="195"/>
      <c r="BE730" s="195"/>
      <c r="BF730" s="195"/>
      <c r="BG730" s="195"/>
      <c r="BH730" s="195"/>
      <c r="BI730" s="195"/>
    </row>
    <row r="731" spans="1:61" x14ac:dyDescent="0.25">
      <c r="A731" t="s">
        <v>343</v>
      </c>
      <c r="B731" t="s">
        <v>344</v>
      </c>
      <c r="C731" t="s">
        <v>1031</v>
      </c>
      <c r="D731" t="s">
        <v>1032</v>
      </c>
      <c r="E731" t="s">
        <v>1033</v>
      </c>
      <c r="F731" t="s">
        <v>1034</v>
      </c>
      <c r="G731" t="s">
        <v>1036</v>
      </c>
      <c r="H731" t="s">
        <v>1037</v>
      </c>
      <c r="AG731" t="s">
        <v>422</v>
      </c>
      <c r="AH731" t="s">
        <v>423</v>
      </c>
      <c r="AI731" t="s">
        <v>353</v>
      </c>
      <c r="AJ731" t="s">
        <v>1036</v>
      </c>
      <c r="AK731" s="1">
        <v>338046.32</v>
      </c>
      <c r="AL731" s="1">
        <v>0</v>
      </c>
      <c r="AM731" s="1">
        <v>338046.32</v>
      </c>
      <c r="AN731" s="1">
        <v>84023.16</v>
      </c>
      <c r="AO731" s="1">
        <v>0</v>
      </c>
      <c r="AP731" s="1">
        <v>84023.16</v>
      </c>
      <c r="AQ731" s="1">
        <v>43671.839999999997</v>
      </c>
      <c r="AR731" s="1">
        <v>0</v>
      </c>
      <c r="AS731" s="1">
        <v>43671.839999999997</v>
      </c>
      <c r="AT731" s="1">
        <v>0</v>
      </c>
      <c r="BA731" s="195"/>
      <c r="BB731" s="195"/>
      <c r="BC731" s="195"/>
      <c r="BD731" s="195"/>
      <c r="BE731" s="195"/>
      <c r="BF731" s="195"/>
      <c r="BG731" s="195"/>
      <c r="BH731" s="195"/>
      <c r="BI731" s="195"/>
    </row>
    <row r="732" spans="1:61" x14ac:dyDescent="0.25">
      <c r="A732" t="s">
        <v>343</v>
      </c>
      <c r="B732" t="s">
        <v>344</v>
      </c>
      <c r="C732" t="s">
        <v>1031</v>
      </c>
      <c r="D732" t="s">
        <v>1032</v>
      </c>
      <c r="E732" t="s">
        <v>1033</v>
      </c>
      <c r="F732" t="s">
        <v>1034</v>
      </c>
      <c r="G732" t="s">
        <v>1036</v>
      </c>
      <c r="H732" t="s">
        <v>1037</v>
      </c>
      <c r="AG732" t="s">
        <v>424</v>
      </c>
      <c r="AH732" t="s">
        <v>425</v>
      </c>
      <c r="AI732" t="s">
        <v>353</v>
      </c>
      <c r="AJ732" t="s">
        <v>1036</v>
      </c>
      <c r="AK732" s="1">
        <v>0</v>
      </c>
      <c r="AL732" s="1">
        <v>0</v>
      </c>
      <c r="AM732" s="1">
        <v>0</v>
      </c>
      <c r="AN732" s="1">
        <v>1550</v>
      </c>
      <c r="AO732" s="1">
        <v>0</v>
      </c>
      <c r="AP732" s="1">
        <v>1550</v>
      </c>
      <c r="AQ732" s="1">
        <v>3009.7</v>
      </c>
      <c r="AR732" s="1">
        <v>0</v>
      </c>
      <c r="AS732" s="1">
        <v>3009.7</v>
      </c>
      <c r="AT732" s="1">
        <v>0</v>
      </c>
      <c r="BA732" s="195"/>
      <c r="BB732" s="195"/>
      <c r="BC732" s="195"/>
      <c r="BD732" s="195"/>
      <c r="BE732" s="195"/>
      <c r="BF732" s="195"/>
      <c r="BG732" s="195"/>
      <c r="BH732" s="195"/>
      <c r="BI732" s="195"/>
    </row>
    <row r="733" spans="1:61" x14ac:dyDescent="0.25">
      <c r="A733" t="s">
        <v>343</v>
      </c>
      <c r="B733" t="s">
        <v>344</v>
      </c>
      <c r="C733" t="s">
        <v>1031</v>
      </c>
      <c r="D733" t="s">
        <v>1032</v>
      </c>
      <c r="E733" t="s">
        <v>1033</v>
      </c>
      <c r="F733" t="s">
        <v>1034</v>
      </c>
      <c r="G733" t="s">
        <v>1036</v>
      </c>
      <c r="H733" t="s">
        <v>1037</v>
      </c>
      <c r="AG733" t="s">
        <v>426</v>
      </c>
      <c r="AH733" t="s">
        <v>427</v>
      </c>
      <c r="AI733" t="s">
        <v>353</v>
      </c>
      <c r="AJ733" t="s">
        <v>1036</v>
      </c>
      <c r="AK733" s="1">
        <v>244257.02</v>
      </c>
      <c r="AL733" s="1">
        <v>0</v>
      </c>
      <c r="AM733" s="1">
        <v>244257.02</v>
      </c>
      <c r="AN733" s="1">
        <v>122128.51</v>
      </c>
      <c r="AO733" s="1">
        <v>0</v>
      </c>
      <c r="AP733" s="1">
        <v>122128.51</v>
      </c>
      <c r="AQ733" s="1">
        <v>122128.51</v>
      </c>
      <c r="AR733" s="1">
        <v>0</v>
      </c>
      <c r="AS733" s="1">
        <v>122128.51</v>
      </c>
      <c r="AT733" s="1">
        <v>0</v>
      </c>
      <c r="BA733" s="195"/>
      <c r="BB733" s="195"/>
      <c r="BC733" s="195"/>
      <c r="BD733" s="195"/>
      <c r="BE733" s="195"/>
      <c r="BF733" s="195"/>
      <c r="BG733" s="195"/>
      <c r="BH733" s="195"/>
      <c r="BI733" s="195"/>
    </row>
    <row r="734" spans="1:61" x14ac:dyDescent="0.25">
      <c r="A734" t="s">
        <v>343</v>
      </c>
      <c r="B734" t="s">
        <v>344</v>
      </c>
      <c r="C734" t="s">
        <v>1031</v>
      </c>
      <c r="D734" t="s">
        <v>1032</v>
      </c>
      <c r="E734" t="s">
        <v>1033</v>
      </c>
      <c r="F734" t="s">
        <v>1034</v>
      </c>
      <c r="G734" t="s">
        <v>1036</v>
      </c>
      <c r="H734" t="s">
        <v>1037</v>
      </c>
      <c r="AG734" t="s">
        <v>428</v>
      </c>
      <c r="AH734" t="s">
        <v>429</v>
      </c>
      <c r="AI734" t="s">
        <v>353</v>
      </c>
      <c r="AJ734" t="s">
        <v>1036</v>
      </c>
      <c r="AK734" s="1">
        <v>-71175.08</v>
      </c>
      <c r="AL734" s="1">
        <v>0</v>
      </c>
      <c r="AM734" s="1">
        <v>-71175.08</v>
      </c>
      <c r="AN734" s="1">
        <v>12934.46</v>
      </c>
      <c r="AO734" s="1">
        <v>0</v>
      </c>
      <c r="AP734" s="1">
        <v>12934.46</v>
      </c>
      <c r="AQ734" s="1">
        <v>47796.97</v>
      </c>
      <c r="AR734" s="1">
        <v>0</v>
      </c>
      <c r="AS734" s="1">
        <v>47796.97</v>
      </c>
      <c r="AT734" s="1">
        <v>0</v>
      </c>
      <c r="BA734" s="195"/>
      <c r="BB734" s="195"/>
      <c r="BC734" s="195"/>
      <c r="BD734" s="195"/>
      <c r="BE734" s="195"/>
      <c r="BF734" s="195"/>
      <c r="BG734" s="195"/>
      <c r="BH734" s="195"/>
      <c r="BI734" s="195"/>
    </row>
    <row r="735" spans="1:61" x14ac:dyDescent="0.25">
      <c r="A735" t="s">
        <v>343</v>
      </c>
      <c r="B735" t="s">
        <v>344</v>
      </c>
      <c r="C735" t="s">
        <v>1031</v>
      </c>
      <c r="D735" t="s">
        <v>1032</v>
      </c>
      <c r="E735" t="s">
        <v>1033</v>
      </c>
      <c r="F735" t="s">
        <v>1034</v>
      </c>
      <c r="G735" t="s">
        <v>1036</v>
      </c>
      <c r="H735" t="s">
        <v>1037</v>
      </c>
      <c r="AG735" t="s">
        <v>430</v>
      </c>
      <c r="AH735" t="s">
        <v>431</v>
      </c>
      <c r="AI735" t="s">
        <v>353</v>
      </c>
      <c r="AJ735" t="s">
        <v>1036</v>
      </c>
      <c r="AK735" s="1">
        <v>-206333.74</v>
      </c>
      <c r="AL735" s="1">
        <v>0</v>
      </c>
      <c r="AM735" s="1">
        <v>-206333.74</v>
      </c>
      <c r="AN735" s="1">
        <v>-103166.87</v>
      </c>
      <c r="AO735" s="1">
        <v>0</v>
      </c>
      <c r="AP735" s="1">
        <v>-103166.87</v>
      </c>
      <c r="AQ735" s="1">
        <v>-103166.87</v>
      </c>
      <c r="AR735" s="1">
        <v>0</v>
      </c>
      <c r="AS735" s="1">
        <v>-103166.87</v>
      </c>
      <c r="AT735" s="1">
        <v>0</v>
      </c>
      <c r="BA735" s="195"/>
      <c r="BB735" s="195"/>
      <c r="BC735" s="195"/>
      <c r="BD735" s="195"/>
      <c r="BE735" s="195"/>
      <c r="BF735" s="195"/>
      <c r="BG735" s="195"/>
      <c r="BH735" s="195"/>
      <c r="BI735" s="195"/>
    </row>
    <row r="736" spans="1:61" x14ac:dyDescent="0.25">
      <c r="A736" t="s">
        <v>343</v>
      </c>
      <c r="B736" t="s">
        <v>344</v>
      </c>
      <c r="C736" t="s">
        <v>1031</v>
      </c>
      <c r="D736" t="s">
        <v>1032</v>
      </c>
      <c r="E736" t="s">
        <v>1033</v>
      </c>
      <c r="F736" t="s">
        <v>1034</v>
      </c>
      <c r="G736" t="s">
        <v>1038</v>
      </c>
      <c r="H736" t="s">
        <v>124</v>
      </c>
      <c r="AG736" t="s">
        <v>434</v>
      </c>
      <c r="AH736" t="s">
        <v>435</v>
      </c>
      <c r="AI736" t="s">
        <v>353</v>
      </c>
      <c r="AJ736" t="s">
        <v>1038</v>
      </c>
      <c r="AK736" s="1">
        <v>13356.3</v>
      </c>
      <c r="AL736" s="1">
        <v>0</v>
      </c>
      <c r="AM736" s="1">
        <v>13356.3</v>
      </c>
      <c r="AN736" s="1">
        <v>6678.15</v>
      </c>
      <c r="AO736" s="1">
        <v>0</v>
      </c>
      <c r="AP736" s="1">
        <v>6678.15</v>
      </c>
      <c r="AQ736" s="1">
        <v>6678.15</v>
      </c>
      <c r="AR736" s="1">
        <v>0</v>
      </c>
      <c r="AS736" s="1">
        <v>6678.15</v>
      </c>
      <c r="AT736" s="1">
        <v>0</v>
      </c>
      <c r="BA736" s="195"/>
      <c r="BB736" s="195"/>
      <c r="BC736" s="195"/>
      <c r="BD736" s="195"/>
      <c r="BE736" s="195"/>
      <c r="BF736" s="195"/>
      <c r="BG736" s="195"/>
      <c r="BH736" s="195"/>
      <c r="BI736" s="195"/>
    </row>
    <row r="737" spans="1:61" x14ac:dyDescent="0.25">
      <c r="A737" t="s">
        <v>343</v>
      </c>
      <c r="B737" t="s">
        <v>344</v>
      </c>
      <c r="C737" t="s">
        <v>1031</v>
      </c>
      <c r="D737" t="s">
        <v>1032</v>
      </c>
      <c r="E737" t="s">
        <v>1033</v>
      </c>
      <c r="F737" t="s">
        <v>1034</v>
      </c>
      <c r="G737" t="s">
        <v>1038</v>
      </c>
      <c r="H737" t="s">
        <v>124</v>
      </c>
      <c r="AG737" t="s">
        <v>436</v>
      </c>
      <c r="AH737" t="s">
        <v>437</v>
      </c>
      <c r="AI737" t="s">
        <v>353</v>
      </c>
      <c r="AJ737" t="s">
        <v>1038</v>
      </c>
      <c r="AK737" s="1">
        <v>20956</v>
      </c>
      <c r="AL737" s="1">
        <v>0</v>
      </c>
      <c r="AM737" s="1">
        <v>20956</v>
      </c>
      <c r="AN737" s="1">
        <v>0</v>
      </c>
      <c r="AO737" s="1"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BA737" s="195"/>
      <c r="BB737" s="195"/>
      <c r="BC737" s="195"/>
      <c r="BD737" s="195"/>
      <c r="BE737" s="195"/>
      <c r="BF737" s="195"/>
      <c r="BG737" s="195"/>
      <c r="BH737" s="195"/>
      <c r="BI737" s="195"/>
    </row>
    <row r="738" spans="1:61" x14ac:dyDescent="0.25">
      <c r="A738" t="s">
        <v>343</v>
      </c>
      <c r="B738" t="s">
        <v>344</v>
      </c>
      <c r="C738" t="s">
        <v>1031</v>
      </c>
      <c r="D738" t="s">
        <v>1032</v>
      </c>
      <c r="E738" t="s">
        <v>1033</v>
      </c>
      <c r="F738" t="s">
        <v>1034</v>
      </c>
      <c r="G738" t="s">
        <v>1038</v>
      </c>
      <c r="H738" t="s">
        <v>124</v>
      </c>
      <c r="AG738" t="s">
        <v>438</v>
      </c>
      <c r="AH738" t="s">
        <v>439</v>
      </c>
      <c r="AI738" t="s">
        <v>353</v>
      </c>
      <c r="AJ738" t="s">
        <v>1038</v>
      </c>
      <c r="AK738" s="1">
        <v>15791.74</v>
      </c>
      <c r="AL738" s="1">
        <v>0</v>
      </c>
      <c r="AM738" s="1">
        <v>15791.74</v>
      </c>
      <c r="AN738" s="1">
        <v>1570</v>
      </c>
      <c r="AO738" s="1">
        <v>0</v>
      </c>
      <c r="AP738" s="1">
        <v>1570</v>
      </c>
      <c r="AQ738" s="1">
        <v>0</v>
      </c>
      <c r="AR738" s="1">
        <v>0</v>
      </c>
      <c r="AS738" s="1">
        <v>0</v>
      </c>
      <c r="AT738" s="1">
        <v>0</v>
      </c>
      <c r="BA738" s="195"/>
      <c r="BB738" s="195"/>
      <c r="BC738" s="195"/>
      <c r="BD738" s="195"/>
      <c r="BE738" s="195"/>
      <c r="BF738" s="195"/>
      <c r="BG738" s="195"/>
      <c r="BH738" s="195"/>
      <c r="BI738" s="195"/>
    </row>
    <row r="739" spans="1:61" x14ac:dyDescent="0.25">
      <c r="A739" t="s">
        <v>343</v>
      </c>
      <c r="B739" t="s">
        <v>344</v>
      </c>
      <c r="C739" t="s">
        <v>1031</v>
      </c>
      <c r="D739" t="s">
        <v>1032</v>
      </c>
      <c r="E739" t="s">
        <v>1033</v>
      </c>
      <c r="F739" t="s">
        <v>1034</v>
      </c>
      <c r="G739" t="s">
        <v>1038</v>
      </c>
      <c r="H739" t="s">
        <v>124</v>
      </c>
      <c r="AG739" t="s">
        <v>440</v>
      </c>
      <c r="AH739" t="s">
        <v>441</v>
      </c>
      <c r="AI739" t="s">
        <v>353</v>
      </c>
      <c r="AJ739" t="s">
        <v>1038</v>
      </c>
      <c r="AK739" s="1">
        <v>49454</v>
      </c>
      <c r="AL739" s="1">
        <v>0</v>
      </c>
      <c r="AM739" s="1">
        <v>49454</v>
      </c>
      <c r="AN739" s="1">
        <v>26490</v>
      </c>
      <c r="AO739" s="1">
        <v>0</v>
      </c>
      <c r="AP739" s="1">
        <v>26490</v>
      </c>
      <c r="AQ739" s="1">
        <v>28253</v>
      </c>
      <c r="AR739" s="1">
        <v>0</v>
      </c>
      <c r="AS739" s="1">
        <v>28253</v>
      </c>
      <c r="AT739" s="1">
        <v>0</v>
      </c>
      <c r="BA739" s="195"/>
      <c r="BB739" s="195"/>
      <c r="BC739" s="195"/>
      <c r="BD739" s="195"/>
      <c r="BE739" s="195"/>
      <c r="BF739" s="195"/>
      <c r="BG739" s="195"/>
      <c r="BH739" s="195"/>
      <c r="BI739" s="195"/>
    </row>
    <row r="740" spans="1:61" x14ac:dyDescent="0.25">
      <c r="A740" t="s">
        <v>343</v>
      </c>
      <c r="B740" t="s">
        <v>344</v>
      </c>
      <c r="C740" t="s">
        <v>1031</v>
      </c>
      <c r="D740" t="s">
        <v>1032</v>
      </c>
      <c r="E740" t="s">
        <v>1033</v>
      </c>
      <c r="F740" t="s">
        <v>1034</v>
      </c>
      <c r="G740" t="s">
        <v>1038</v>
      </c>
      <c r="H740" t="s">
        <v>124</v>
      </c>
      <c r="AG740" t="s">
        <v>442</v>
      </c>
      <c r="AH740" t="s">
        <v>443</v>
      </c>
      <c r="AI740" t="s">
        <v>353</v>
      </c>
      <c r="AJ740" t="s">
        <v>1038</v>
      </c>
      <c r="AK740" s="1">
        <v>32793.199999999997</v>
      </c>
      <c r="AL740" s="1">
        <v>0</v>
      </c>
      <c r="AM740" s="1">
        <v>32793.199999999997</v>
      </c>
      <c r="AN740" s="1">
        <v>7433.6</v>
      </c>
      <c r="AO740" s="1">
        <v>0</v>
      </c>
      <c r="AP740" s="1">
        <v>7433.6</v>
      </c>
      <c r="AQ740" s="1">
        <v>138</v>
      </c>
      <c r="AR740" s="1">
        <v>0</v>
      </c>
      <c r="AS740" s="1">
        <v>138</v>
      </c>
      <c r="AT740" s="1">
        <v>0</v>
      </c>
      <c r="BA740" s="195"/>
      <c r="BB740" s="195"/>
      <c r="BC740" s="195"/>
      <c r="BD740" s="195"/>
      <c r="BE740" s="195"/>
      <c r="BF740" s="195"/>
      <c r="BG740" s="195"/>
      <c r="BH740" s="195"/>
      <c r="BI740" s="195"/>
    </row>
    <row r="741" spans="1:61" x14ac:dyDescent="0.25">
      <c r="A741" t="s">
        <v>343</v>
      </c>
      <c r="B741" t="s">
        <v>344</v>
      </c>
      <c r="C741" t="s">
        <v>1031</v>
      </c>
      <c r="D741" t="s">
        <v>1032</v>
      </c>
      <c r="E741" t="s">
        <v>1033</v>
      </c>
      <c r="F741" t="s">
        <v>1034</v>
      </c>
      <c r="G741" t="s">
        <v>1038</v>
      </c>
      <c r="H741" t="s">
        <v>124</v>
      </c>
      <c r="AG741" t="s">
        <v>444</v>
      </c>
      <c r="AH741" t="s">
        <v>445</v>
      </c>
      <c r="AI741" t="s">
        <v>353</v>
      </c>
      <c r="AJ741" t="s">
        <v>1038</v>
      </c>
      <c r="AK741" s="1">
        <v>83449.86</v>
      </c>
      <c r="AL741" s="1">
        <v>0</v>
      </c>
      <c r="AM741" s="1">
        <v>83449.86</v>
      </c>
      <c r="AN741" s="1">
        <v>43378.43</v>
      </c>
      <c r="AO741" s="1">
        <v>0</v>
      </c>
      <c r="AP741" s="1">
        <v>43378.43</v>
      </c>
      <c r="AQ741" s="1">
        <v>45031.93</v>
      </c>
      <c r="AR741" s="1">
        <v>0</v>
      </c>
      <c r="AS741" s="1">
        <v>45031.93</v>
      </c>
      <c r="AT741" s="1">
        <v>0</v>
      </c>
      <c r="BA741" s="195"/>
      <c r="BB741" s="195"/>
      <c r="BC741" s="195"/>
      <c r="BD741" s="195"/>
      <c r="BE741" s="195"/>
      <c r="BF741" s="195"/>
      <c r="BG741" s="195"/>
      <c r="BH741" s="195"/>
      <c r="BI741" s="195"/>
    </row>
    <row r="742" spans="1:61" x14ac:dyDescent="0.25">
      <c r="A742" t="s">
        <v>343</v>
      </c>
      <c r="B742" t="s">
        <v>344</v>
      </c>
      <c r="C742" t="s">
        <v>1031</v>
      </c>
      <c r="D742" t="s">
        <v>1032</v>
      </c>
      <c r="E742" t="s">
        <v>1033</v>
      </c>
      <c r="F742" t="s">
        <v>1034</v>
      </c>
      <c r="G742" t="s">
        <v>1038</v>
      </c>
      <c r="H742" t="s">
        <v>124</v>
      </c>
      <c r="AG742" t="s">
        <v>446</v>
      </c>
      <c r="AH742" t="s">
        <v>447</v>
      </c>
      <c r="AI742" t="s">
        <v>353</v>
      </c>
      <c r="AJ742" t="s">
        <v>1038</v>
      </c>
      <c r="AK742" s="1">
        <v>95636.22</v>
      </c>
      <c r="AL742" s="1">
        <v>0</v>
      </c>
      <c r="AM742" s="1">
        <v>95636.22</v>
      </c>
      <c r="AN742" s="1">
        <v>39818.11</v>
      </c>
      <c r="AO742" s="1">
        <v>0</v>
      </c>
      <c r="AP742" s="1">
        <v>39818.11</v>
      </c>
      <c r="AQ742" s="1">
        <v>34246.89</v>
      </c>
      <c r="AR742" s="1">
        <v>0</v>
      </c>
      <c r="AS742" s="1">
        <v>34246.89</v>
      </c>
      <c r="AT742" s="1">
        <v>0</v>
      </c>
      <c r="BA742" s="195"/>
      <c r="BB742" s="195"/>
      <c r="BC742" s="195"/>
      <c r="BD742" s="195"/>
      <c r="BE742" s="195"/>
      <c r="BF742" s="195"/>
      <c r="BG742" s="195"/>
      <c r="BH742" s="195"/>
      <c r="BI742" s="195"/>
    </row>
    <row r="743" spans="1:61" x14ac:dyDescent="0.25">
      <c r="A743" t="s">
        <v>343</v>
      </c>
      <c r="B743" t="s">
        <v>344</v>
      </c>
      <c r="C743" t="s">
        <v>1031</v>
      </c>
      <c r="D743" t="s">
        <v>1032</v>
      </c>
      <c r="E743" t="s">
        <v>1033</v>
      </c>
      <c r="F743" t="s">
        <v>1034</v>
      </c>
      <c r="G743" t="s">
        <v>1038</v>
      </c>
      <c r="H743" t="s">
        <v>124</v>
      </c>
      <c r="AG743" t="s">
        <v>448</v>
      </c>
      <c r="AH743" t="s">
        <v>449</v>
      </c>
      <c r="AI743" t="s">
        <v>353</v>
      </c>
      <c r="AJ743" t="s">
        <v>1038</v>
      </c>
      <c r="AK743" s="1">
        <v>7731.04</v>
      </c>
      <c r="AL743" s="1">
        <v>0</v>
      </c>
      <c r="AM743" s="1">
        <v>7731.04</v>
      </c>
      <c r="AN743" s="1">
        <v>1210.5899999999999</v>
      </c>
      <c r="AO743" s="1">
        <v>0</v>
      </c>
      <c r="AP743" s="1">
        <v>1210.5899999999999</v>
      </c>
      <c r="AQ743" s="1">
        <v>0</v>
      </c>
      <c r="AR743" s="1">
        <v>0</v>
      </c>
      <c r="AS743" s="1">
        <v>0</v>
      </c>
      <c r="AT743" s="1">
        <v>0</v>
      </c>
      <c r="BA743" s="195"/>
      <c r="BB743" s="195"/>
      <c r="BC743" s="195"/>
      <c r="BD743" s="195"/>
      <c r="BE743" s="195"/>
      <c r="BF743" s="195"/>
      <c r="BG743" s="195"/>
      <c r="BH743" s="195"/>
      <c r="BI743" s="195"/>
    </row>
    <row r="744" spans="1:61" x14ac:dyDescent="0.25">
      <c r="A744" t="s">
        <v>343</v>
      </c>
      <c r="B744" t="s">
        <v>344</v>
      </c>
      <c r="C744" t="s">
        <v>1031</v>
      </c>
      <c r="D744" t="s">
        <v>1032</v>
      </c>
      <c r="E744" t="s">
        <v>1033</v>
      </c>
      <c r="F744" t="s">
        <v>1034</v>
      </c>
      <c r="G744" t="s">
        <v>1038</v>
      </c>
      <c r="H744" t="s">
        <v>124</v>
      </c>
      <c r="AG744" t="s">
        <v>450</v>
      </c>
      <c r="AH744" t="s">
        <v>451</v>
      </c>
      <c r="AI744" t="s">
        <v>353</v>
      </c>
      <c r="AJ744" t="s">
        <v>1038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145950</v>
      </c>
      <c r="AR744" s="1">
        <v>0</v>
      </c>
      <c r="AS744" s="1">
        <v>145950</v>
      </c>
      <c r="AT744" s="1">
        <v>0</v>
      </c>
      <c r="BA744" s="195"/>
      <c r="BB744" s="195"/>
      <c r="BC744" s="195"/>
      <c r="BD744" s="195"/>
      <c r="BE744" s="195"/>
      <c r="BF744" s="195"/>
      <c r="BG744" s="195"/>
      <c r="BH744" s="195"/>
      <c r="BI744" s="195"/>
    </row>
    <row r="745" spans="1:61" x14ac:dyDescent="0.25">
      <c r="A745" t="s">
        <v>343</v>
      </c>
      <c r="B745" t="s">
        <v>344</v>
      </c>
      <c r="C745" t="s">
        <v>1031</v>
      </c>
      <c r="D745" t="s">
        <v>1032</v>
      </c>
      <c r="E745" t="s">
        <v>1033</v>
      </c>
      <c r="F745" t="s">
        <v>1034</v>
      </c>
      <c r="G745" t="s">
        <v>1038</v>
      </c>
      <c r="H745" t="s">
        <v>124</v>
      </c>
      <c r="AG745" t="s">
        <v>452</v>
      </c>
      <c r="AH745" t="s">
        <v>453</v>
      </c>
      <c r="AI745" t="s">
        <v>353</v>
      </c>
      <c r="AJ745" t="s">
        <v>1038</v>
      </c>
      <c r="AK745" s="1">
        <v>-1.68</v>
      </c>
      <c r="AL745" s="1">
        <v>0</v>
      </c>
      <c r="AM745" s="1">
        <v>-1.68</v>
      </c>
      <c r="AN745" s="1">
        <v>0</v>
      </c>
      <c r="AO745" s="1">
        <v>0</v>
      </c>
      <c r="AP745" s="1">
        <v>0</v>
      </c>
      <c r="AQ745" s="1">
        <v>0.84</v>
      </c>
      <c r="AR745" s="1">
        <v>0</v>
      </c>
      <c r="AS745" s="1">
        <v>0.84</v>
      </c>
      <c r="AT745" s="1">
        <v>0</v>
      </c>
      <c r="BA745" s="195"/>
      <c r="BB745" s="195"/>
      <c r="BC745" s="195"/>
      <c r="BD745" s="195"/>
      <c r="BE745" s="195"/>
      <c r="BF745" s="195"/>
      <c r="BG745" s="195"/>
      <c r="BH745" s="195"/>
      <c r="BI745" s="195"/>
    </row>
    <row r="746" spans="1:61" x14ac:dyDescent="0.25">
      <c r="A746" t="s">
        <v>343</v>
      </c>
      <c r="B746" t="s">
        <v>344</v>
      </c>
      <c r="C746" t="s">
        <v>1031</v>
      </c>
      <c r="D746" t="s">
        <v>1032</v>
      </c>
      <c r="E746" t="s">
        <v>1033</v>
      </c>
      <c r="F746" t="s">
        <v>1034</v>
      </c>
      <c r="G746" t="s">
        <v>1038</v>
      </c>
      <c r="H746" t="s">
        <v>124</v>
      </c>
      <c r="AG746" t="s">
        <v>454</v>
      </c>
      <c r="AH746" t="s">
        <v>455</v>
      </c>
      <c r="AI746" t="s">
        <v>353</v>
      </c>
      <c r="AJ746" t="s">
        <v>1038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22822.75</v>
      </c>
      <c r="AR746" s="1">
        <v>0</v>
      </c>
      <c r="AS746" s="1">
        <v>22822.75</v>
      </c>
      <c r="AT746" s="1">
        <v>0</v>
      </c>
      <c r="BA746" s="195"/>
      <c r="BB746" s="195"/>
      <c r="BC746" s="195"/>
      <c r="BD746" s="195"/>
      <c r="BE746" s="195"/>
      <c r="BF746" s="195"/>
      <c r="BG746" s="195"/>
      <c r="BH746" s="195"/>
      <c r="BI746" s="195"/>
    </row>
    <row r="747" spans="1:61" x14ac:dyDescent="0.25">
      <c r="A747" t="s">
        <v>343</v>
      </c>
      <c r="B747" t="s">
        <v>344</v>
      </c>
      <c r="C747" t="s">
        <v>1031</v>
      </c>
      <c r="D747" t="s">
        <v>1032</v>
      </c>
      <c r="E747" t="s">
        <v>1033</v>
      </c>
      <c r="F747" t="s">
        <v>1034</v>
      </c>
      <c r="G747" t="s">
        <v>1038</v>
      </c>
      <c r="H747" t="s">
        <v>124</v>
      </c>
      <c r="AG747" t="s">
        <v>456</v>
      </c>
      <c r="AH747" t="s">
        <v>457</v>
      </c>
      <c r="AI747" t="s">
        <v>353</v>
      </c>
      <c r="AJ747" t="s">
        <v>1038</v>
      </c>
      <c r="AK747" s="1">
        <v>45648.24</v>
      </c>
      <c r="AL747" s="1">
        <v>0</v>
      </c>
      <c r="AM747" s="1">
        <v>45648.24</v>
      </c>
      <c r="AN747" s="1">
        <v>0</v>
      </c>
      <c r="AO747" s="1">
        <v>0</v>
      </c>
      <c r="AP747" s="1">
        <v>0</v>
      </c>
      <c r="AQ747" s="1">
        <v>-22824.12</v>
      </c>
      <c r="AR747" s="1">
        <v>0</v>
      </c>
      <c r="AS747" s="1">
        <v>-22824.12</v>
      </c>
      <c r="AT747" s="1">
        <v>0</v>
      </c>
      <c r="BA747" s="195"/>
      <c r="BB747" s="195"/>
      <c r="BC747" s="195"/>
      <c r="BD747" s="195"/>
      <c r="BE747" s="195"/>
      <c r="BF747" s="195"/>
      <c r="BG747" s="195"/>
      <c r="BH747" s="195"/>
      <c r="BI747" s="195"/>
    </row>
    <row r="748" spans="1:61" x14ac:dyDescent="0.25">
      <c r="A748" t="s">
        <v>343</v>
      </c>
      <c r="B748" t="s">
        <v>344</v>
      </c>
      <c r="C748" t="s">
        <v>1031</v>
      </c>
      <c r="D748" t="s">
        <v>1032</v>
      </c>
      <c r="E748" t="s">
        <v>1033</v>
      </c>
      <c r="F748" t="s">
        <v>1034</v>
      </c>
      <c r="G748" t="s">
        <v>1039</v>
      </c>
      <c r="H748" t="s">
        <v>128</v>
      </c>
      <c r="AG748" t="s">
        <v>481</v>
      </c>
      <c r="AH748" t="s">
        <v>482</v>
      </c>
      <c r="AI748" t="s">
        <v>353</v>
      </c>
      <c r="AJ748" t="s">
        <v>1039</v>
      </c>
      <c r="AK748" s="1">
        <v>385304.92</v>
      </c>
      <c r="AL748" s="1">
        <v>0</v>
      </c>
      <c r="AM748" s="1">
        <v>385304.92</v>
      </c>
      <c r="AN748" s="1">
        <v>137453.25</v>
      </c>
      <c r="AO748" s="1">
        <v>0</v>
      </c>
      <c r="AP748" s="1">
        <v>137453.25</v>
      </c>
      <c r="AQ748" s="1">
        <v>82254.039999999994</v>
      </c>
      <c r="AR748" s="1">
        <v>0</v>
      </c>
      <c r="AS748" s="1">
        <v>82254.039999999994</v>
      </c>
      <c r="AT748" s="1">
        <v>0</v>
      </c>
      <c r="BA748" s="195"/>
      <c r="BB748" s="195"/>
      <c r="BC748" s="195"/>
      <c r="BD748" s="195"/>
      <c r="BE748" s="195"/>
      <c r="BF748" s="195"/>
      <c r="BG748" s="195"/>
      <c r="BH748" s="195"/>
      <c r="BI748" s="195"/>
    </row>
    <row r="749" spans="1:61" x14ac:dyDescent="0.25">
      <c r="A749" t="s">
        <v>343</v>
      </c>
      <c r="B749" t="s">
        <v>344</v>
      </c>
      <c r="C749" t="s">
        <v>1031</v>
      </c>
      <c r="D749" t="s">
        <v>1032</v>
      </c>
      <c r="E749" t="s">
        <v>1033</v>
      </c>
      <c r="F749" t="s">
        <v>1034</v>
      </c>
      <c r="G749" t="s">
        <v>1040</v>
      </c>
      <c r="H749" t="s">
        <v>276</v>
      </c>
      <c r="AG749" t="s">
        <v>485</v>
      </c>
      <c r="AH749" t="s">
        <v>486</v>
      </c>
      <c r="AI749" t="s">
        <v>353</v>
      </c>
      <c r="AJ749" t="s">
        <v>1040</v>
      </c>
      <c r="AK749" s="1">
        <v>6436.8</v>
      </c>
      <c r="AL749" s="1">
        <v>0</v>
      </c>
      <c r="AM749" s="1">
        <v>6436.8</v>
      </c>
      <c r="AN749" s="1">
        <v>1752.6</v>
      </c>
      <c r="AO749" s="1">
        <v>0</v>
      </c>
      <c r="AP749" s="1">
        <v>1752.6</v>
      </c>
      <c r="AQ749" s="1">
        <v>286.8</v>
      </c>
      <c r="AR749" s="1">
        <v>0</v>
      </c>
      <c r="AS749" s="1">
        <v>286.8</v>
      </c>
      <c r="AT749" s="1">
        <v>0</v>
      </c>
      <c r="BA749" s="195"/>
      <c r="BB749" s="195"/>
      <c r="BC749" s="195"/>
      <c r="BD749" s="195"/>
      <c r="BE749" s="195"/>
      <c r="BF749" s="195"/>
      <c r="BG749" s="195"/>
      <c r="BH749" s="195"/>
      <c r="BI749" s="195"/>
    </row>
    <row r="750" spans="1:61" x14ac:dyDescent="0.25">
      <c r="A750" t="s">
        <v>343</v>
      </c>
      <c r="B750" t="s">
        <v>344</v>
      </c>
      <c r="C750" t="s">
        <v>1031</v>
      </c>
      <c r="D750" t="s">
        <v>1032</v>
      </c>
      <c r="E750" t="s">
        <v>1041</v>
      </c>
      <c r="F750" t="s">
        <v>1042</v>
      </c>
      <c r="G750" t="s">
        <v>1043</v>
      </c>
      <c r="H750" t="s">
        <v>236</v>
      </c>
      <c r="AG750" t="s">
        <v>848</v>
      </c>
      <c r="AH750" t="s">
        <v>849</v>
      </c>
      <c r="AI750" t="s">
        <v>353</v>
      </c>
      <c r="AJ750" t="s">
        <v>1043</v>
      </c>
      <c r="AK750" s="1">
        <v>856154.28</v>
      </c>
      <c r="AL750" s="1">
        <v>0</v>
      </c>
      <c r="AM750" s="1">
        <v>856154.28</v>
      </c>
      <c r="AN750" s="1">
        <v>340835.29</v>
      </c>
      <c r="AO750" s="1">
        <v>0</v>
      </c>
      <c r="AP750" s="1">
        <v>340835.29</v>
      </c>
      <c r="AQ750" s="1">
        <v>253593.44</v>
      </c>
      <c r="AR750" s="1">
        <v>0</v>
      </c>
      <c r="AS750" s="1">
        <v>253593.44</v>
      </c>
      <c r="AT750" s="1">
        <v>0</v>
      </c>
      <c r="BA750" s="195"/>
      <c r="BB750" s="195"/>
      <c r="BC750" s="195"/>
      <c r="BD750" s="195"/>
      <c r="BE750" s="195"/>
      <c r="BF750" s="195"/>
      <c r="BG750" s="195"/>
      <c r="BH750" s="195"/>
      <c r="BI750" s="195"/>
    </row>
    <row r="751" spans="1:61" x14ac:dyDescent="0.25">
      <c r="A751" t="s">
        <v>343</v>
      </c>
      <c r="B751" t="s">
        <v>344</v>
      </c>
      <c r="C751" t="s">
        <v>1031</v>
      </c>
      <c r="D751" t="s">
        <v>1032</v>
      </c>
      <c r="E751" t="s">
        <v>1041</v>
      </c>
      <c r="F751" t="s">
        <v>1042</v>
      </c>
      <c r="G751" t="s">
        <v>1043</v>
      </c>
      <c r="H751" t="s">
        <v>236</v>
      </c>
      <c r="AG751" t="s">
        <v>850</v>
      </c>
      <c r="AH751" t="s">
        <v>851</v>
      </c>
      <c r="AI751" t="s">
        <v>353</v>
      </c>
      <c r="AJ751" t="s">
        <v>1043</v>
      </c>
      <c r="AK751" s="1">
        <v>613245.19999999995</v>
      </c>
      <c r="AL751" s="1">
        <v>0</v>
      </c>
      <c r="AM751" s="1">
        <v>613245.19999999995</v>
      </c>
      <c r="AN751" s="1">
        <v>269354.88</v>
      </c>
      <c r="AO751" s="1">
        <v>0</v>
      </c>
      <c r="AP751" s="1">
        <v>269354.88</v>
      </c>
      <c r="AQ751" s="1">
        <v>232087.16</v>
      </c>
      <c r="AR751" s="1">
        <v>0</v>
      </c>
      <c r="AS751" s="1">
        <v>232087.16</v>
      </c>
      <c r="AT751" s="1">
        <v>0</v>
      </c>
      <c r="BA751" s="195"/>
      <c r="BB751" s="195"/>
      <c r="BC751" s="195"/>
      <c r="BD751" s="195"/>
      <c r="BE751" s="195"/>
      <c r="BF751" s="195"/>
      <c r="BG751" s="195"/>
      <c r="BH751" s="195"/>
      <c r="BI751" s="195"/>
    </row>
    <row r="752" spans="1:61" x14ac:dyDescent="0.25">
      <c r="A752" t="s">
        <v>343</v>
      </c>
      <c r="B752" t="s">
        <v>344</v>
      </c>
      <c r="C752" t="s">
        <v>1031</v>
      </c>
      <c r="D752" t="s">
        <v>1032</v>
      </c>
      <c r="E752" t="s">
        <v>1041</v>
      </c>
      <c r="F752" t="s">
        <v>1042</v>
      </c>
      <c r="G752" t="s">
        <v>1044</v>
      </c>
      <c r="H752" t="s">
        <v>142</v>
      </c>
      <c r="AG752" t="s">
        <v>436</v>
      </c>
      <c r="AH752" t="s">
        <v>437</v>
      </c>
      <c r="AI752" t="s">
        <v>353</v>
      </c>
      <c r="AJ752" t="s">
        <v>1044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0</v>
      </c>
      <c r="AQ752" s="1">
        <v>12488.96</v>
      </c>
      <c r="AR752" s="1">
        <v>0</v>
      </c>
      <c r="AS752" s="1">
        <v>12488.96</v>
      </c>
      <c r="AT752" s="1">
        <v>0</v>
      </c>
      <c r="BA752" s="195"/>
      <c r="BB752" s="195"/>
      <c r="BC752" s="195"/>
      <c r="BD752" s="195"/>
      <c r="BE752" s="195"/>
      <c r="BF752" s="195"/>
      <c r="BG752" s="195"/>
      <c r="BH752" s="195"/>
      <c r="BI752" s="195"/>
    </row>
    <row r="753" spans="1:61" x14ac:dyDescent="0.25">
      <c r="A753" t="s">
        <v>343</v>
      </c>
      <c r="B753" t="s">
        <v>344</v>
      </c>
      <c r="C753" t="s">
        <v>1031</v>
      </c>
      <c r="D753" t="s">
        <v>1032</v>
      </c>
      <c r="E753" t="s">
        <v>1041</v>
      </c>
      <c r="F753" t="s">
        <v>1042</v>
      </c>
      <c r="G753" t="s">
        <v>1044</v>
      </c>
      <c r="H753" t="s">
        <v>142</v>
      </c>
      <c r="AG753" t="s">
        <v>438</v>
      </c>
      <c r="AH753" t="s">
        <v>439</v>
      </c>
      <c r="AI753" t="s">
        <v>353</v>
      </c>
      <c r="AJ753" t="s">
        <v>1044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0</v>
      </c>
      <c r="AQ753" s="1">
        <v>6187.95</v>
      </c>
      <c r="AR753" s="1">
        <v>0</v>
      </c>
      <c r="AS753" s="1">
        <v>6187.95</v>
      </c>
      <c r="AT753" s="1">
        <v>0</v>
      </c>
      <c r="BA753" s="195"/>
      <c r="BB753" s="195"/>
      <c r="BC753" s="195"/>
      <c r="BD753" s="195"/>
      <c r="BE753" s="195"/>
      <c r="BF753" s="195"/>
      <c r="BG753" s="195"/>
      <c r="BH753" s="195"/>
      <c r="BI753" s="195"/>
    </row>
    <row r="754" spans="1:61" x14ac:dyDescent="0.25">
      <c r="A754" t="s">
        <v>343</v>
      </c>
      <c r="B754" t="s">
        <v>344</v>
      </c>
      <c r="C754" t="s">
        <v>1031</v>
      </c>
      <c r="D754" t="s">
        <v>1032</v>
      </c>
      <c r="E754" t="s">
        <v>1041</v>
      </c>
      <c r="F754" t="s">
        <v>1042</v>
      </c>
      <c r="G754" t="s">
        <v>1044</v>
      </c>
      <c r="H754" t="s">
        <v>142</v>
      </c>
      <c r="AG754" t="s">
        <v>854</v>
      </c>
      <c r="AH754" t="s">
        <v>693</v>
      </c>
      <c r="AI754" t="s">
        <v>353</v>
      </c>
      <c r="AJ754" t="s">
        <v>1044</v>
      </c>
      <c r="AK754" s="1">
        <v>5705.9</v>
      </c>
      <c r="AL754" s="1">
        <v>0</v>
      </c>
      <c r="AM754" s="1">
        <v>5705.9</v>
      </c>
      <c r="AN754" s="1">
        <v>3018</v>
      </c>
      <c r="AO754" s="1">
        <v>0</v>
      </c>
      <c r="AP754" s="1">
        <v>3018</v>
      </c>
      <c r="AQ754" s="1">
        <v>3183.05</v>
      </c>
      <c r="AR754" s="1">
        <v>0</v>
      </c>
      <c r="AS754" s="1">
        <v>3183.05</v>
      </c>
      <c r="AT754" s="1">
        <v>0</v>
      </c>
      <c r="BA754" s="195"/>
      <c r="BB754" s="195"/>
      <c r="BC754" s="195"/>
      <c r="BD754" s="195"/>
      <c r="BE754" s="195"/>
      <c r="BF754" s="195"/>
      <c r="BG754" s="195"/>
      <c r="BH754" s="195"/>
      <c r="BI754" s="195"/>
    </row>
    <row r="755" spans="1:61" x14ac:dyDescent="0.25">
      <c r="A755" t="s">
        <v>343</v>
      </c>
      <c r="B755" t="s">
        <v>344</v>
      </c>
      <c r="C755" t="s">
        <v>1031</v>
      </c>
      <c r="D755" t="s">
        <v>1032</v>
      </c>
      <c r="E755" t="s">
        <v>1041</v>
      </c>
      <c r="F755" t="s">
        <v>1042</v>
      </c>
      <c r="G755" t="s">
        <v>1044</v>
      </c>
      <c r="H755" t="s">
        <v>142</v>
      </c>
      <c r="AG755" t="s">
        <v>855</v>
      </c>
      <c r="AH755" t="s">
        <v>856</v>
      </c>
      <c r="AI755" t="s">
        <v>353</v>
      </c>
      <c r="AJ755" t="s">
        <v>1044</v>
      </c>
      <c r="AK755" s="1">
        <v>655347.43999999994</v>
      </c>
      <c r="AL755" s="1">
        <v>0</v>
      </c>
      <c r="AM755" s="1">
        <v>655347.43999999994</v>
      </c>
      <c r="AN755" s="1">
        <v>327873.71999999997</v>
      </c>
      <c r="AO755" s="1">
        <v>0</v>
      </c>
      <c r="AP755" s="1">
        <v>327873.71999999997</v>
      </c>
      <c r="AQ755" s="1">
        <v>328665.17</v>
      </c>
      <c r="AR755" s="1">
        <v>0</v>
      </c>
      <c r="AS755" s="1">
        <v>328665.17</v>
      </c>
      <c r="AT755" s="1">
        <v>0</v>
      </c>
      <c r="BA755" s="195"/>
      <c r="BB755" s="195"/>
      <c r="BC755" s="195"/>
      <c r="BD755" s="195"/>
      <c r="BE755" s="195"/>
      <c r="BF755" s="195"/>
      <c r="BG755" s="195"/>
      <c r="BH755" s="195"/>
      <c r="BI755" s="195"/>
    </row>
    <row r="756" spans="1:61" x14ac:dyDescent="0.25">
      <c r="A756" t="s">
        <v>343</v>
      </c>
      <c r="B756" t="s">
        <v>344</v>
      </c>
      <c r="C756" t="s">
        <v>1031</v>
      </c>
      <c r="D756" t="s">
        <v>1032</v>
      </c>
      <c r="E756" t="s">
        <v>1041</v>
      </c>
      <c r="F756" t="s">
        <v>1042</v>
      </c>
      <c r="G756" t="s">
        <v>1044</v>
      </c>
      <c r="H756" t="s">
        <v>142</v>
      </c>
      <c r="AG756" t="s">
        <v>857</v>
      </c>
      <c r="AH756" t="s">
        <v>858</v>
      </c>
      <c r="AI756" t="s">
        <v>353</v>
      </c>
      <c r="AJ756" t="s">
        <v>1044</v>
      </c>
      <c r="AK756" s="1">
        <v>6398.08</v>
      </c>
      <c r="AL756" s="1">
        <v>0</v>
      </c>
      <c r="AM756" s="1">
        <v>6398.08</v>
      </c>
      <c r="AN756" s="1">
        <v>3199.04</v>
      </c>
      <c r="AO756" s="1">
        <v>0</v>
      </c>
      <c r="AP756" s="1">
        <v>3199.04</v>
      </c>
      <c r="AQ756" s="1">
        <v>3199.04</v>
      </c>
      <c r="AR756" s="1">
        <v>0</v>
      </c>
      <c r="AS756" s="1">
        <v>3199.04</v>
      </c>
      <c r="AT756" s="1">
        <v>0</v>
      </c>
      <c r="BA756" s="195"/>
      <c r="BB756" s="195"/>
      <c r="BC756" s="195"/>
      <c r="BD756" s="195"/>
      <c r="BE756" s="195"/>
      <c r="BF756" s="195"/>
      <c r="BG756" s="195"/>
      <c r="BH756" s="195"/>
      <c r="BI756" s="195"/>
    </row>
    <row r="757" spans="1:61" x14ac:dyDescent="0.25">
      <c r="A757" t="s">
        <v>343</v>
      </c>
      <c r="B757" t="s">
        <v>344</v>
      </c>
      <c r="C757" t="s">
        <v>1031</v>
      </c>
      <c r="D757" t="s">
        <v>1032</v>
      </c>
      <c r="E757" t="s">
        <v>1041</v>
      </c>
      <c r="F757" t="s">
        <v>1042</v>
      </c>
      <c r="G757" t="s">
        <v>1044</v>
      </c>
      <c r="H757" t="s">
        <v>142</v>
      </c>
      <c r="AG757" t="s">
        <v>859</v>
      </c>
      <c r="AH757" t="s">
        <v>734</v>
      </c>
      <c r="AI757" t="s">
        <v>353</v>
      </c>
      <c r="AJ757" t="s">
        <v>1044</v>
      </c>
      <c r="AK757" s="1">
        <v>506372.96</v>
      </c>
      <c r="AL757" s="1">
        <v>0</v>
      </c>
      <c r="AM757" s="1">
        <v>506372.96</v>
      </c>
      <c r="AN757" s="1">
        <v>243330.14</v>
      </c>
      <c r="AO757" s="1">
        <v>0</v>
      </c>
      <c r="AP757" s="1">
        <v>243330.14</v>
      </c>
      <c r="AQ757" s="1">
        <v>234509.75</v>
      </c>
      <c r="AR757" s="1">
        <v>0</v>
      </c>
      <c r="AS757" s="1">
        <v>234509.75</v>
      </c>
      <c r="AT757" s="1">
        <v>0</v>
      </c>
      <c r="BA757" s="195"/>
      <c r="BB757" s="195"/>
      <c r="BC757" s="195"/>
      <c r="BD757" s="195"/>
      <c r="BE757" s="195"/>
      <c r="BF757" s="195"/>
      <c r="BG757" s="195"/>
      <c r="BH757" s="195"/>
      <c r="BI757" s="195"/>
    </row>
    <row r="758" spans="1:61" x14ac:dyDescent="0.25">
      <c r="A758" t="s">
        <v>343</v>
      </c>
      <c r="B758" t="s">
        <v>344</v>
      </c>
      <c r="C758" t="s">
        <v>1031</v>
      </c>
      <c r="D758" t="s">
        <v>1032</v>
      </c>
      <c r="E758" t="s">
        <v>1041</v>
      </c>
      <c r="F758" t="s">
        <v>1042</v>
      </c>
      <c r="G758" t="s">
        <v>1044</v>
      </c>
      <c r="H758" t="s">
        <v>142</v>
      </c>
      <c r="AG758" t="s">
        <v>860</v>
      </c>
      <c r="AH758" t="s">
        <v>861</v>
      </c>
      <c r="AI758" t="s">
        <v>353</v>
      </c>
      <c r="AJ758" t="s">
        <v>1044</v>
      </c>
      <c r="AK758" s="1">
        <v>604638.56000000006</v>
      </c>
      <c r="AL758" s="1">
        <v>0</v>
      </c>
      <c r="AM758" s="1">
        <v>604638.56000000006</v>
      </c>
      <c r="AN758" s="1">
        <v>293783.28000000003</v>
      </c>
      <c r="AO758" s="1">
        <v>0</v>
      </c>
      <c r="AP758" s="1">
        <v>293783.28000000003</v>
      </c>
      <c r="AQ758" s="1">
        <v>241230.02</v>
      </c>
      <c r="AR758" s="1">
        <v>0</v>
      </c>
      <c r="AS758" s="1">
        <v>241230.02</v>
      </c>
      <c r="AT758" s="1">
        <v>0</v>
      </c>
      <c r="BA758" s="195"/>
      <c r="BB758" s="195"/>
      <c r="BC758" s="195"/>
      <c r="BD758" s="195"/>
      <c r="BE758" s="195"/>
      <c r="BF758" s="195"/>
      <c r="BG758" s="195"/>
      <c r="BH758" s="195"/>
      <c r="BI758" s="195"/>
    </row>
    <row r="759" spans="1:61" x14ac:dyDescent="0.25">
      <c r="A759" t="s">
        <v>343</v>
      </c>
      <c r="B759" t="s">
        <v>344</v>
      </c>
      <c r="C759" t="s">
        <v>1031</v>
      </c>
      <c r="D759" t="s">
        <v>1032</v>
      </c>
      <c r="E759" t="s">
        <v>1041</v>
      </c>
      <c r="F759" t="s">
        <v>1042</v>
      </c>
      <c r="G759" t="s">
        <v>1044</v>
      </c>
      <c r="H759" t="s">
        <v>142</v>
      </c>
      <c r="AG759" t="s">
        <v>862</v>
      </c>
      <c r="AH759" t="s">
        <v>863</v>
      </c>
      <c r="AI759" t="s">
        <v>353</v>
      </c>
      <c r="AJ759" t="s">
        <v>1044</v>
      </c>
      <c r="AK759" s="1">
        <v>106758</v>
      </c>
      <c r="AL759" s="1">
        <v>0</v>
      </c>
      <c r="AM759" s="1">
        <v>106758</v>
      </c>
      <c r="AN759" s="1">
        <v>55302</v>
      </c>
      <c r="AO759" s="1">
        <v>0</v>
      </c>
      <c r="AP759" s="1">
        <v>55302</v>
      </c>
      <c r="AQ759" s="1">
        <v>57225</v>
      </c>
      <c r="AR759" s="1">
        <v>0</v>
      </c>
      <c r="AS759" s="1">
        <v>57225</v>
      </c>
      <c r="AT759" s="1">
        <v>0</v>
      </c>
      <c r="BA759" s="195"/>
      <c r="BB759" s="195"/>
      <c r="BC759" s="195"/>
      <c r="BD759" s="195"/>
      <c r="BE759" s="195"/>
      <c r="BF759" s="195"/>
      <c r="BG759" s="195"/>
      <c r="BH759" s="195"/>
      <c r="BI759" s="195"/>
    </row>
    <row r="760" spans="1:61" x14ac:dyDescent="0.25">
      <c r="A760" t="s">
        <v>343</v>
      </c>
      <c r="B760" t="s">
        <v>344</v>
      </c>
      <c r="C760" t="s">
        <v>1031</v>
      </c>
      <c r="D760" t="s">
        <v>1032</v>
      </c>
      <c r="E760" t="s">
        <v>1041</v>
      </c>
      <c r="F760" t="s">
        <v>1042</v>
      </c>
      <c r="G760" t="s">
        <v>1044</v>
      </c>
      <c r="H760" t="s">
        <v>142</v>
      </c>
      <c r="AG760" t="s">
        <v>864</v>
      </c>
      <c r="AH760" t="s">
        <v>865</v>
      </c>
      <c r="AI760" t="s">
        <v>353</v>
      </c>
      <c r="AJ760" t="s">
        <v>1044</v>
      </c>
      <c r="AK760" s="1">
        <v>95972</v>
      </c>
      <c r="AL760" s="1">
        <v>0</v>
      </c>
      <c r="AM760" s="1">
        <v>95972</v>
      </c>
      <c r="AN760" s="1">
        <v>52829</v>
      </c>
      <c r="AO760" s="1">
        <v>0</v>
      </c>
      <c r="AP760" s="1">
        <v>52829</v>
      </c>
      <c r="AQ760" s="1">
        <v>57672</v>
      </c>
      <c r="AR760" s="1">
        <v>0</v>
      </c>
      <c r="AS760" s="1">
        <v>57672</v>
      </c>
      <c r="AT760" s="1">
        <v>0</v>
      </c>
      <c r="BA760" s="195"/>
      <c r="BB760" s="195"/>
      <c r="BC760" s="195"/>
      <c r="BD760" s="195"/>
      <c r="BE760" s="195"/>
      <c r="BF760" s="195"/>
      <c r="BG760" s="195"/>
      <c r="BH760" s="195"/>
      <c r="BI760" s="195"/>
    </row>
    <row r="761" spans="1:61" x14ac:dyDescent="0.25">
      <c r="A761" t="s">
        <v>343</v>
      </c>
      <c r="B761" t="s">
        <v>344</v>
      </c>
      <c r="C761" t="s">
        <v>1031</v>
      </c>
      <c r="D761" t="s">
        <v>1032</v>
      </c>
      <c r="E761" t="s">
        <v>1041</v>
      </c>
      <c r="F761" t="s">
        <v>1042</v>
      </c>
      <c r="G761" t="s">
        <v>1044</v>
      </c>
      <c r="H761" t="s">
        <v>142</v>
      </c>
      <c r="AG761" t="s">
        <v>866</v>
      </c>
      <c r="AH761" t="s">
        <v>867</v>
      </c>
      <c r="AI761" t="s">
        <v>353</v>
      </c>
      <c r="AJ761" t="s">
        <v>1044</v>
      </c>
      <c r="AK761" s="1">
        <v>155729.64000000001</v>
      </c>
      <c r="AL761" s="1">
        <v>0</v>
      </c>
      <c r="AM761" s="1">
        <v>155729.64000000001</v>
      </c>
      <c r="AN761" s="1">
        <v>63018.25</v>
      </c>
      <c r="AO761" s="1">
        <v>0</v>
      </c>
      <c r="AP761" s="1">
        <v>63018.25</v>
      </c>
      <c r="AQ761" s="1">
        <v>48171.68</v>
      </c>
      <c r="AR761" s="1">
        <v>0</v>
      </c>
      <c r="AS761" s="1">
        <v>48171.68</v>
      </c>
      <c r="AT761" s="1">
        <v>0</v>
      </c>
      <c r="BA761" s="195"/>
      <c r="BB761" s="195"/>
      <c r="BC761" s="195"/>
      <c r="BD761" s="195"/>
      <c r="BE761" s="195"/>
      <c r="BF761" s="195"/>
      <c r="BG761" s="195"/>
      <c r="BH761" s="195"/>
      <c r="BI761" s="195"/>
    </row>
    <row r="762" spans="1:61" x14ac:dyDescent="0.25">
      <c r="A762" t="s">
        <v>343</v>
      </c>
      <c r="B762" t="s">
        <v>344</v>
      </c>
      <c r="C762" t="s">
        <v>1031</v>
      </c>
      <c r="D762" t="s">
        <v>1032</v>
      </c>
      <c r="E762" t="s">
        <v>1041</v>
      </c>
      <c r="F762" t="s">
        <v>1042</v>
      </c>
      <c r="G762" t="s">
        <v>1044</v>
      </c>
      <c r="H762" t="s">
        <v>142</v>
      </c>
      <c r="AG762" t="s">
        <v>868</v>
      </c>
      <c r="AH762" t="s">
        <v>869</v>
      </c>
      <c r="AI762" t="s">
        <v>353</v>
      </c>
      <c r="AJ762" t="s">
        <v>1044</v>
      </c>
      <c r="AK762" s="1">
        <v>26215.64</v>
      </c>
      <c r="AL762" s="1">
        <v>0</v>
      </c>
      <c r="AM762" s="1">
        <v>26215.64</v>
      </c>
      <c r="AN762" s="1">
        <v>35028.57</v>
      </c>
      <c r="AO762" s="1">
        <v>0</v>
      </c>
      <c r="AP762" s="1">
        <v>35028.57</v>
      </c>
      <c r="AQ762" s="1">
        <v>56949.32</v>
      </c>
      <c r="AR762" s="1">
        <v>0</v>
      </c>
      <c r="AS762" s="1">
        <v>56949.32</v>
      </c>
      <c r="AT762" s="1">
        <v>0</v>
      </c>
      <c r="BA762" s="195"/>
      <c r="BB762" s="195"/>
      <c r="BC762" s="195"/>
      <c r="BD762" s="195"/>
      <c r="BE762" s="195"/>
      <c r="BF762" s="195"/>
      <c r="BG762" s="195"/>
      <c r="BH762" s="195"/>
      <c r="BI762" s="195"/>
    </row>
    <row r="763" spans="1:61" x14ac:dyDescent="0.25">
      <c r="A763" t="s">
        <v>343</v>
      </c>
      <c r="B763" t="s">
        <v>344</v>
      </c>
      <c r="C763" t="s">
        <v>1031</v>
      </c>
      <c r="D763" t="s">
        <v>1032</v>
      </c>
      <c r="E763" t="s">
        <v>1041</v>
      </c>
      <c r="F763" t="s">
        <v>1042</v>
      </c>
      <c r="G763" t="s">
        <v>1044</v>
      </c>
      <c r="H763" t="s">
        <v>142</v>
      </c>
      <c r="AG763" t="s">
        <v>870</v>
      </c>
      <c r="AH763" t="s">
        <v>871</v>
      </c>
      <c r="AI763" t="s">
        <v>353</v>
      </c>
      <c r="AJ763" t="s">
        <v>1044</v>
      </c>
      <c r="AK763" s="1">
        <v>20306.919999999998</v>
      </c>
      <c r="AL763" s="1">
        <v>0</v>
      </c>
      <c r="AM763" s="1">
        <v>20306.919999999998</v>
      </c>
      <c r="AN763" s="1">
        <v>10734.04</v>
      </c>
      <c r="AO763" s="1">
        <v>0</v>
      </c>
      <c r="AP763" s="1">
        <v>10734.04</v>
      </c>
      <c r="AQ763" s="1">
        <v>11314.62</v>
      </c>
      <c r="AR763" s="1">
        <v>0</v>
      </c>
      <c r="AS763" s="1">
        <v>11314.62</v>
      </c>
      <c r="AT763" s="1">
        <v>0</v>
      </c>
      <c r="BA763" s="195"/>
      <c r="BB763" s="195"/>
      <c r="BC763" s="195"/>
      <c r="BD763" s="195"/>
      <c r="BE763" s="195"/>
      <c r="BF763" s="195"/>
      <c r="BG763" s="195"/>
      <c r="BH763" s="195"/>
      <c r="BI763" s="195"/>
    </row>
    <row r="764" spans="1:61" x14ac:dyDescent="0.25">
      <c r="A764" t="s">
        <v>343</v>
      </c>
      <c r="B764" t="s">
        <v>344</v>
      </c>
      <c r="C764" t="s">
        <v>1031</v>
      </c>
      <c r="D764" t="s">
        <v>1032</v>
      </c>
      <c r="E764" t="s">
        <v>1041</v>
      </c>
      <c r="F764" t="s">
        <v>1042</v>
      </c>
      <c r="G764" t="s">
        <v>1044</v>
      </c>
      <c r="H764" t="s">
        <v>142</v>
      </c>
      <c r="AG764" t="s">
        <v>872</v>
      </c>
      <c r="AH764" t="s">
        <v>873</v>
      </c>
      <c r="AI764" t="s">
        <v>353</v>
      </c>
      <c r="AJ764" t="s">
        <v>1044</v>
      </c>
      <c r="AK764" s="1">
        <v>14471.16</v>
      </c>
      <c r="AL764" s="1">
        <v>0</v>
      </c>
      <c r="AM764" s="1">
        <v>14471.16</v>
      </c>
      <c r="AN764" s="1">
        <v>6813.85</v>
      </c>
      <c r="AO764" s="1">
        <v>0</v>
      </c>
      <c r="AP764" s="1">
        <v>6813.85</v>
      </c>
      <c r="AQ764" s="1">
        <v>6392.12</v>
      </c>
      <c r="AR764" s="1">
        <v>0</v>
      </c>
      <c r="AS764" s="1">
        <v>6392.12</v>
      </c>
      <c r="AT764" s="1">
        <v>0</v>
      </c>
      <c r="BA764" s="195"/>
      <c r="BB764" s="195"/>
      <c r="BC764" s="195"/>
      <c r="BD764" s="195"/>
      <c r="BE764" s="195"/>
      <c r="BF764" s="195"/>
      <c r="BG764" s="195"/>
      <c r="BH764" s="195"/>
      <c r="BI764" s="195"/>
    </row>
    <row r="765" spans="1:61" x14ac:dyDescent="0.25">
      <c r="A765" t="s">
        <v>343</v>
      </c>
      <c r="B765" t="s">
        <v>344</v>
      </c>
      <c r="C765" t="s">
        <v>1031</v>
      </c>
      <c r="D765" t="s">
        <v>1032</v>
      </c>
      <c r="E765" t="s">
        <v>1041</v>
      </c>
      <c r="F765" t="s">
        <v>1042</v>
      </c>
      <c r="G765" t="s">
        <v>1044</v>
      </c>
      <c r="H765" t="s">
        <v>142</v>
      </c>
      <c r="AG765" t="s">
        <v>874</v>
      </c>
      <c r="AH765" t="s">
        <v>875</v>
      </c>
      <c r="AI765" t="s">
        <v>353</v>
      </c>
      <c r="AJ765" t="s">
        <v>1044</v>
      </c>
      <c r="AK765" s="1">
        <v>32094</v>
      </c>
      <c r="AL765" s="1">
        <v>0</v>
      </c>
      <c r="AM765" s="1">
        <v>32094</v>
      </c>
      <c r="AN765" s="1">
        <v>17482</v>
      </c>
      <c r="AO765" s="1">
        <v>0</v>
      </c>
      <c r="AP765" s="1">
        <v>17482</v>
      </c>
      <c r="AQ765" s="1">
        <v>18917</v>
      </c>
      <c r="AR765" s="1">
        <v>0</v>
      </c>
      <c r="AS765" s="1">
        <v>18917</v>
      </c>
      <c r="AT765" s="1">
        <v>0</v>
      </c>
      <c r="BA765" s="195"/>
      <c r="BB765" s="195"/>
      <c r="BC765" s="195"/>
      <c r="BD765" s="195"/>
      <c r="BE765" s="195"/>
      <c r="BF765" s="195"/>
      <c r="BG765" s="195"/>
      <c r="BH765" s="195"/>
      <c r="BI765" s="195"/>
    </row>
    <row r="766" spans="1:61" x14ac:dyDescent="0.25">
      <c r="A766" t="s">
        <v>343</v>
      </c>
      <c r="B766" t="s">
        <v>344</v>
      </c>
      <c r="C766" t="s">
        <v>1031</v>
      </c>
      <c r="D766" t="s">
        <v>1032</v>
      </c>
      <c r="E766" t="s">
        <v>1041</v>
      </c>
      <c r="F766" t="s">
        <v>1042</v>
      </c>
      <c r="G766" t="s">
        <v>1044</v>
      </c>
      <c r="H766" t="s">
        <v>142</v>
      </c>
      <c r="AG766" t="s">
        <v>876</v>
      </c>
      <c r="AH766" t="s">
        <v>877</v>
      </c>
      <c r="AI766" t="s">
        <v>353</v>
      </c>
      <c r="AJ766" t="s">
        <v>1044</v>
      </c>
      <c r="AK766" s="1">
        <v>287832.36</v>
      </c>
      <c r="AL766" s="1">
        <v>0</v>
      </c>
      <c r="AM766" s="1">
        <v>287832.36</v>
      </c>
      <c r="AN766" s="1">
        <v>144264.43</v>
      </c>
      <c r="AO766" s="1">
        <v>0</v>
      </c>
      <c r="AP766" s="1">
        <v>144264.43</v>
      </c>
      <c r="AQ766" s="1">
        <v>144612.68</v>
      </c>
      <c r="AR766" s="1">
        <v>0</v>
      </c>
      <c r="AS766" s="1">
        <v>144612.68</v>
      </c>
      <c r="AT766" s="1">
        <v>0</v>
      </c>
      <c r="BA766" s="195"/>
      <c r="BB766" s="195"/>
      <c r="BC766" s="195"/>
      <c r="BD766" s="195"/>
      <c r="BE766" s="195"/>
      <c r="BF766" s="195"/>
      <c r="BG766" s="195"/>
      <c r="BH766" s="195"/>
      <c r="BI766" s="195"/>
    </row>
    <row r="767" spans="1:61" x14ac:dyDescent="0.25">
      <c r="A767" t="s">
        <v>343</v>
      </c>
      <c r="B767" t="s">
        <v>344</v>
      </c>
      <c r="C767" t="s">
        <v>1031</v>
      </c>
      <c r="D767" t="s">
        <v>1032</v>
      </c>
      <c r="E767" t="s">
        <v>1041</v>
      </c>
      <c r="F767" t="s">
        <v>1042</v>
      </c>
      <c r="G767" t="s">
        <v>1044</v>
      </c>
      <c r="H767" t="s">
        <v>142</v>
      </c>
      <c r="AG767" t="s">
        <v>878</v>
      </c>
      <c r="AH767" t="s">
        <v>879</v>
      </c>
      <c r="AI767" t="s">
        <v>353</v>
      </c>
      <c r="AJ767" t="s">
        <v>1044</v>
      </c>
      <c r="AK767" s="1">
        <v>321213.71999999997</v>
      </c>
      <c r="AL767" s="1">
        <v>0</v>
      </c>
      <c r="AM767" s="1">
        <v>321213.71999999997</v>
      </c>
      <c r="AN767" s="1">
        <v>129265.78</v>
      </c>
      <c r="AO767" s="1">
        <v>0</v>
      </c>
      <c r="AP767" s="1">
        <v>129265.78</v>
      </c>
      <c r="AQ767" s="1">
        <v>97924.7</v>
      </c>
      <c r="AR767" s="1">
        <v>0</v>
      </c>
      <c r="AS767" s="1">
        <v>97924.7</v>
      </c>
      <c r="AT767" s="1">
        <v>0</v>
      </c>
      <c r="BA767" s="195"/>
      <c r="BB767" s="195"/>
      <c r="BC767" s="195"/>
      <c r="BD767" s="195"/>
      <c r="BE767" s="195"/>
      <c r="BF767" s="195"/>
      <c r="BG767" s="195"/>
      <c r="BH767" s="195"/>
      <c r="BI767" s="195"/>
    </row>
    <row r="768" spans="1:61" x14ac:dyDescent="0.25">
      <c r="A768" t="s">
        <v>343</v>
      </c>
      <c r="B768" t="s">
        <v>344</v>
      </c>
      <c r="C768" t="s">
        <v>1031</v>
      </c>
      <c r="D768" t="s">
        <v>1032</v>
      </c>
      <c r="E768" t="s">
        <v>1041</v>
      </c>
      <c r="F768" t="s">
        <v>1042</v>
      </c>
      <c r="G768" t="s">
        <v>1044</v>
      </c>
      <c r="H768" t="s">
        <v>142</v>
      </c>
      <c r="AG768" t="s">
        <v>880</v>
      </c>
      <c r="AH768" t="s">
        <v>881</v>
      </c>
      <c r="AI768" t="s">
        <v>353</v>
      </c>
      <c r="AJ768" t="s">
        <v>1044</v>
      </c>
      <c r="AK768" s="1">
        <v>20038.14</v>
      </c>
      <c r="AL768" s="1">
        <v>0</v>
      </c>
      <c r="AM768" s="1">
        <v>20038.14</v>
      </c>
      <c r="AN768" s="1">
        <v>6819.15</v>
      </c>
      <c r="AO768" s="1">
        <v>0</v>
      </c>
      <c r="AP768" s="1">
        <v>6819.15</v>
      </c>
      <c r="AQ768" s="1">
        <v>3619.23</v>
      </c>
      <c r="AR768" s="1">
        <v>0</v>
      </c>
      <c r="AS768" s="1">
        <v>3619.23</v>
      </c>
      <c r="AT768" s="1">
        <v>0</v>
      </c>
      <c r="BA768" s="195"/>
      <c r="BB768" s="195"/>
      <c r="BC768" s="195"/>
      <c r="BD768" s="195"/>
      <c r="BE768" s="195"/>
      <c r="BF768" s="195"/>
      <c r="BG768" s="195"/>
      <c r="BH768" s="195"/>
      <c r="BI768" s="195"/>
    </row>
    <row r="769" spans="1:61" x14ac:dyDescent="0.25">
      <c r="A769" t="s">
        <v>343</v>
      </c>
      <c r="B769" t="s">
        <v>344</v>
      </c>
      <c r="C769" t="s">
        <v>1031</v>
      </c>
      <c r="D769" t="s">
        <v>1032</v>
      </c>
      <c r="E769" t="s">
        <v>1041</v>
      </c>
      <c r="F769" t="s">
        <v>1042</v>
      </c>
      <c r="G769" t="s">
        <v>1044</v>
      </c>
      <c r="H769" t="s">
        <v>142</v>
      </c>
      <c r="AG769" t="s">
        <v>882</v>
      </c>
      <c r="AH769" t="s">
        <v>883</v>
      </c>
      <c r="AI769" t="s">
        <v>353</v>
      </c>
      <c r="AJ769" t="s">
        <v>1044</v>
      </c>
      <c r="AK769" s="1">
        <v>61316.6</v>
      </c>
      <c r="AL769" s="1">
        <v>0</v>
      </c>
      <c r="AM769" s="1">
        <v>61316.6</v>
      </c>
      <c r="AN769" s="1">
        <v>28810.91</v>
      </c>
      <c r="AO769" s="1">
        <v>0</v>
      </c>
      <c r="AP769" s="1">
        <v>28810.91</v>
      </c>
      <c r="AQ769" s="1">
        <v>26963.52</v>
      </c>
      <c r="AR769" s="1">
        <v>0</v>
      </c>
      <c r="AS769" s="1">
        <v>26963.52</v>
      </c>
      <c r="AT769" s="1">
        <v>0</v>
      </c>
      <c r="BA769" s="195"/>
      <c r="BB769" s="195"/>
      <c r="BC769" s="195"/>
      <c r="BD769" s="195"/>
      <c r="BE769" s="195"/>
      <c r="BF769" s="195"/>
      <c r="BG769" s="195"/>
      <c r="BH769" s="195"/>
      <c r="BI769" s="195"/>
    </row>
    <row r="770" spans="1:61" x14ac:dyDescent="0.25">
      <c r="A770" t="s">
        <v>343</v>
      </c>
      <c r="B770" t="s">
        <v>344</v>
      </c>
      <c r="C770" t="s">
        <v>1031</v>
      </c>
      <c r="D770" t="s">
        <v>1032</v>
      </c>
      <c r="E770" t="s">
        <v>1041</v>
      </c>
      <c r="F770" t="s">
        <v>1042</v>
      </c>
      <c r="G770" t="s">
        <v>1044</v>
      </c>
      <c r="H770" t="s">
        <v>142</v>
      </c>
      <c r="AG770" t="s">
        <v>884</v>
      </c>
      <c r="AH770" t="s">
        <v>885</v>
      </c>
      <c r="AI770" t="s">
        <v>353</v>
      </c>
      <c r="AJ770" t="s">
        <v>1044</v>
      </c>
      <c r="AK770" s="1">
        <v>28799.26</v>
      </c>
      <c r="AL770" s="1">
        <v>0</v>
      </c>
      <c r="AM770" s="1">
        <v>28799.26</v>
      </c>
      <c r="AN770" s="1">
        <v>15343.09</v>
      </c>
      <c r="AO770" s="1">
        <v>0</v>
      </c>
      <c r="AP770" s="1">
        <v>15343.09</v>
      </c>
      <c r="AQ770" s="1">
        <v>16286.55</v>
      </c>
      <c r="AR770" s="1">
        <v>0</v>
      </c>
      <c r="AS770" s="1">
        <v>16286.55</v>
      </c>
      <c r="AT770" s="1">
        <v>0</v>
      </c>
      <c r="BA770" s="195"/>
      <c r="BB770" s="195"/>
      <c r="BC770" s="195"/>
      <c r="BD770" s="195"/>
      <c r="BE770" s="195"/>
      <c r="BF770" s="195"/>
      <c r="BG770" s="195"/>
      <c r="BH770" s="195"/>
      <c r="BI770" s="195"/>
    </row>
    <row r="771" spans="1:61" x14ac:dyDescent="0.25">
      <c r="A771" t="s">
        <v>343</v>
      </c>
      <c r="B771" t="s">
        <v>344</v>
      </c>
      <c r="C771" t="s">
        <v>1031</v>
      </c>
      <c r="D771" t="s">
        <v>1032</v>
      </c>
      <c r="E771" t="s">
        <v>1041</v>
      </c>
      <c r="F771" t="s">
        <v>1042</v>
      </c>
      <c r="G771" t="s">
        <v>1044</v>
      </c>
      <c r="H771" t="s">
        <v>142</v>
      </c>
      <c r="AG771" t="s">
        <v>886</v>
      </c>
      <c r="AH771" t="s">
        <v>646</v>
      </c>
      <c r="AI771" t="s">
        <v>353</v>
      </c>
      <c r="AJ771" t="s">
        <v>1044</v>
      </c>
      <c r="AK771" s="1">
        <v>44021.14</v>
      </c>
      <c r="AL771" s="1">
        <v>0</v>
      </c>
      <c r="AM771" s="1">
        <v>44021.14</v>
      </c>
      <c r="AN771" s="1">
        <v>21139.37</v>
      </c>
      <c r="AO771" s="1">
        <v>0</v>
      </c>
      <c r="AP771" s="1">
        <v>21139.37</v>
      </c>
      <c r="AQ771" s="1">
        <v>20268.169999999998</v>
      </c>
      <c r="AR771" s="1">
        <v>0</v>
      </c>
      <c r="AS771" s="1">
        <v>20268.169999999998</v>
      </c>
      <c r="AT771" s="1">
        <v>0</v>
      </c>
      <c r="BA771" s="195"/>
      <c r="BB771" s="195"/>
      <c r="BC771" s="195"/>
      <c r="BD771" s="195"/>
      <c r="BE771" s="195"/>
      <c r="BF771" s="195"/>
      <c r="BG771" s="195"/>
      <c r="BH771" s="195"/>
      <c r="BI771" s="195"/>
    </row>
    <row r="772" spans="1:61" x14ac:dyDescent="0.25">
      <c r="A772" t="s">
        <v>343</v>
      </c>
      <c r="B772" t="s">
        <v>344</v>
      </c>
      <c r="C772" t="s">
        <v>1031</v>
      </c>
      <c r="D772" t="s">
        <v>1032</v>
      </c>
      <c r="E772" t="s">
        <v>1041</v>
      </c>
      <c r="F772" t="s">
        <v>1042</v>
      </c>
      <c r="G772" t="s">
        <v>1044</v>
      </c>
      <c r="H772" t="s">
        <v>142</v>
      </c>
      <c r="AG772" t="s">
        <v>887</v>
      </c>
      <c r="AH772" t="s">
        <v>659</v>
      </c>
      <c r="AI772" t="s">
        <v>353</v>
      </c>
      <c r="AJ772" t="s">
        <v>1044</v>
      </c>
      <c r="AK772" s="1">
        <v>25170</v>
      </c>
      <c r="AL772" s="1">
        <v>0</v>
      </c>
      <c r="AM772" s="1">
        <v>25170</v>
      </c>
      <c r="AN772" s="1">
        <v>11415</v>
      </c>
      <c r="AO772" s="1">
        <v>0</v>
      </c>
      <c r="AP772" s="1">
        <v>11415</v>
      </c>
      <c r="AQ772" s="1">
        <v>10245</v>
      </c>
      <c r="AR772" s="1">
        <v>0</v>
      </c>
      <c r="AS772" s="1">
        <v>10245</v>
      </c>
      <c r="AT772" s="1">
        <v>0</v>
      </c>
      <c r="BA772" s="195"/>
      <c r="BB772" s="195"/>
      <c r="BC772" s="195"/>
      <c r="BD772" s="195"/>
      <c r="BE772" s="195"/>
      <c r="BF772" s="195"/>
      <c r="BG772" s="195"/>
      <c r="BH772" s="195"/>
      <c r="BI772" s="195"/>
    </row>
    <row r="773" spans="1:61" x14ac:dyDescent="0.25">
      <c r="A773" t="s">
        <v>343</v>
      </c>
      <c r="B773" t="s">
        <v>344</v>
      </c>
      <c r="C773" t="s">
        <v>1031</v>
      </c>
      <c r="D773" t="s">
        <v>1032</v>
      </c>
      <c r="E773" t="s">
        <v>1041</v>
      </c>
      <c r="F773" t="s">
        <v>1042</v>
      </c>
      <c r="G773" t="s">
        <v>1044</v>
      </c>
      <c r="H773" t="s">
        <v>142</v>
      </c>
      <c r="AG773" t="s">
        <v>888</v>
      </c>
      <c r="AH773" t="s">
        <v>889</v>
      </c>
      <c r="AI773" t="s">
        <v>353</v>
      </c>
      <c r="AJ773" t="s">
        <v>1044</v>
      </c>
      <c r="AK773" s="1">
        <v>22824</v>
      </c>
      <c r="AL773" s="1">
        <v>0</v>
      </c>
      <c r="AM773" s="1">
        <v>22824</v>
      </c>
      <c r="AN773" s="1">
        <v>15412</v>
      </c>
      <c r="AO773" s="1">
        <v>0</v>
      </c>
      <c r="AP773" s="1">
        <v>15412</v>
      </c>
      <c r="AQ773" s="1">
        <v>16737</v>
      </c>
      <c r="AR773" s="1">
        <v>0</v>
      </c>
      <c r="AS773" s="1">
        <v>16737</v>
      </c>
      <c r="AT773" s="1">
        <v>0</v>
      </c>
      <c r="BA773" s="195"/>
      <c r="BB773" s="195"/>
      <c r="BC773" s="195"/>
      <c r="BD773" s="195"/>
      <c r="BE773" s="195"/>
      <c r="BF773" s="195"/>
      <c r="BG773" s="195"/>
      <c r="BH773" s="195"/>
      <c r="BI773" s="195"/>
    </row>
    <row r="774" spans="1:61" x14ac:dyDescent="0.25">
      <c r="A774" t="s">
        <v>343</v>
      </c>
      <c r="B774" t="s">
        <v>344</v>
      </c>
      <c r="C774" t="s">
        <v>1031</v>
      </c>
      <c r="D774" t="s">
        <v>1032</v>
      </c>
      <c r="E774" t="s">
        <v>1041</v>
      </c>
      <c r="F774" t="s">
        <v>1042</v>
      </c>
      <c r="G774" t="s">
        <v>1044</v>
      </c>
      <c r="H774" t="s">
        <v>142</v>
      </c>
      <c r="AG774" t="s">
        <v>890</v>
      </c>
      <c r="AH774" t="s">
        <v>697</v>
      </c>
      <c r="AI774" t="s">
        <v>353</v>
      </c>
      <c r="AJ774" t="s">
        <v>1044</v>
      </c>
      <c r="AK774" s="1">
        <v>6110</v>
      </c>
      <c r="AL774" s="1">
        <v>0</v>
      </c>
      <c r="AM774" s="1">
        <v>6110</v>
      </c>
      <c r="AN774" s="1">
        <v>3315</v>
      </c>
      <c r="AO774" s="1">
        <v>0</v>
      </c>
      <c r="AP774" s="1">
        <v>3315</v>
      </c>
      <c r="AQ774" s="1">
        <v>3575</v>
      </c>
      <c r="AR774" s="1">
        <v>0</v>
      </c>
      <c r="AS774" s="1">
        <v>3575</v>
      </c>
      <c r="AT774" s="1">
        <v>0</v>
      </c>
      <c r="BA774" s="195"/>
      <c r="BB774" s="195"/>
      <c r="BC774" s="195"/>
      <c r="BD774" s="195"/>
      <c r="BE774" s="195"/>
      <c r="BF774" s="195"/>
      <c r="BG774" s="195"/>
      <c r="BH774" s="195"/>
      <c r="BI774" s="195"/>
    </row>
    <row r="775" spans="1:61" x14ac:dyDescent="0.25">
      <c r="A775" t="s">
        <v>343</v>
      </c>
      <c r="B775" t="s">
        <v>344</v>
      </c>
      <c r="C775" t="s">
        <v>1031</v>
      </c>
      <c r="D775" t="s">
        <v>1032</v>
      </c>
      <c r="E775" t="s">
        <v>1041</v>
      </c>
      <c r="F775" t="s">
        <v>1042</v>
      </c>
      <c r="G775" t="s">
        <v>1044</v>
      </c>
      <c r="H775" t="s">
        <v>142</v>
      </c>
      <c r="AG775" t="s">
        <v>891</v>
      </c>
      <c r="AH775" t="s">
        <v>892</v>
      </c>
      <c r="AI775" t="s">
        <v>353</v>
      </c>
      <c r="AJ775" t="s">
        <v>1044</v>
      </c>
      <c r="AK775" s="1">
        <v>129588</v>
      </c>
      <c r="AL775" s="1">
        <v>0</v>
      </c>
      <c r="AM775" s="1">
        <v>129588</v>
      </c>
      <c r="AN775" s="1">
        <v>114106</v>
      </c>
      <c r="AO775" s="1">
        <v>0</v>
      </c>
      <c r="AP775" s="1">
        <v>114106</v>
      </c>
      <c r="AQ775" s="1">
        <v>163418</v>
      </c>
      <c r="AR775" s="1">
        <v>0</v>
      </c>
      <c r="AS775" s="1">
        <v>163418</v>
      </c>
      <c r="AT775" s="1">
        <v>0</v>
      </c>
      <c r="BA775" s="195"/>
      <c r="BB775" s="195"/>
      <c r="BC775" s="195"/>
      <c r="BD775" s="195"/>
      <c r="BE775" s="195"/>
      <c r="BF775" s="195"/>
      <c r="BG775" s="195"/>
      <c r="BH775" s="195"/>
      <c r="BI775" s="195"/>
    </row>
    <row r="776" spans="1:61" x14ac:dyDescent="0.25">
      <c r="A776" t="s">
        <v>343</v>
      </c>
      <c r="B776" t="s">
        <v>344</v>
      </c>
      <c r="C776" t="s">
        <v>1031</v>
      </c>
      <c r="D776" t="s">
        <v>1032</v>
      </c>
      <c r="E776" t="s">
        <v>1041</v>
      </c>
      <c r="F776" t="s">
        <v>1042</v>
      </c>
      <c r="G776" t="s">
        <v>1044</v>
      </c>
      <c r="H776" t="s">
        <v>142</v>
      </c>
      <c r="AG776" t="s">
        <v>893</v>
      </c>
      <c r="AH776" t="s">
        <v>894</v>
      </c>
      <c r="AI776" t="s">
        <v>353</v>
      </c>
      <c r="AJ776" t="s">
        <v>1044</v>
      </c>
      <c r="AK776" s="1">
        <v>9040.02</v>
      </c>
      <c r="AL776" s="1">
        <v>0</v>
      </c>
      <c r="AM776" s="1">
        <v>9040.02</v>
      </c>
      <c r="AN776" s="1">
        <v>4520.01</v>
      </c>
      <c r="AO776" s="1">
        <v>0</v>
      </c>
      <c r="AP776" s="1">
        <v>4520.01</v>
      </c>
      <c r="AQ776" s="1">
        <v>4520.01</v>
      </c>
      <c r="AR776" s="1">
        <v>0</v>
      </c>
      <c r="AS776" s="1">
        <v>4520.01</v>
      </c>
      <c r="AT776" s="1">
        <v>0</v>
      </c>
      <c r="BA776" s="195"/>
      <c r="BB776" s="195"/>
      <c r="BC776" s="195"/>
      <c r="BD776" s="195"/>
      <c r="BE776" s="195"/>
      <c r="BF776" s="195"/>
      <c r="BG776" s="195"/>
      <c r="BH776" s="195"/>
      <c r="BI776" s="195"/>
    </row>
    <row r="777" spans="1:61" x14ac:dyDescent="0.25">
      <c r="A777" t="s">
        <v>343</v>
      </c>
      <c r="B777" t="s">
        <v>344</v>
      </c>
      <c r="C777" t="s">
        <v>1031</v>
      </c>
      <c r="D777" t="s">
        <v>1032</v>
      </c>
      <c r="E777" t="s">
        <v>1041</v>
      </c>
      <c r="F777" t="s">
        <v>1042</v>
      </c>
      <c r="G777" t="s">
        <v>1044</v>
      </c>
      <c r="H777" t="s">
        <v>142</v>
      </c>
      <c r="AG777" t="s">
        <v>895</v>
      </c>
      <c r="AH777" t="s">
        <v>894</v>
      </c>
      <c r="AI777" t="s">
        <v>353</v>
      </c>
      <c r="AJ777" t="s">
        <v>1044</v>
      </c>
      <c r="AK777" s="1">
        <v>928553.18</v>
      </c>
      <c r="AL777" s="1">
        <v>0</v>
      </c>
      <c r="AM777" s="1">
        <v>928553.18</v>
      </c>
      <c r="AN777" s="1">
        <v>379276.59</v>
      </c>
      <c r="AO777" s="1">
        <v>0</v>
      </c>
      <c r="AP777" s="1">
        <v>379276.59</v>
      </c>
      <c r="AQ777" s="1">
        <v>359503.28</v>
      </c>
      <c r="AR777" s="1">
        <v>0</v>
      </c>
      <c r="AS777" s="1">
        <v>359503.28</v>
      </c>
      <c r="AT777" s="1">
        <v>0</v>
      </c>
      <c r="BA777" s="195"/>
      <c r="BB777" s="195"/>
      <c r="BC777" s="195"/>
      <c r="BD777" s="195"/>
      <c r="BE777" s="195"/>
      <c r="BF777" s="195"/>
      <c r="BG777" s="195"/>
      <c r="BH777" s="195"/>
      <c r="BI777" s="195"/>
    </row>
    <row r="778" spans="1:61" x14ac:dyDescent="0.25">
      <c r="A778" t="s">
        <v>343</v>
      </c>
      <c r="B778" t="s">
        <v>344</v>
      </c>
      <c r="C778" t="s">
        <v>1031</v>
      </c>
      <c r="D778" t="s">
        <v>1032</v>
      </c>
      <c r="E778" t="s">
        <v>1041</v>
      </c>
      <c r="F778" t="s">
        <v>1042</v>
      </c>
      <c r="G778" t="s">
        <v>1044</v>
      </c>
      <c r="H778" t="s">
        <v>142</v>
      </c>
      <c r="AG778" t="s">
        <v>448</v>
      </c>
      <c r="AH778" t="s">
        <v>449</v>
      </c>
      <c r="AI778" t="s">
        <v>353</v>
      </c>
      <c r="AJ778" t="s">
        <v>1044</v>
      </c>
      <c r="AK778" s="1">
        <v>0</v>
      </c>
      <c r="AL778" s="1">
        <v>0</v>
      </c>
      <c r="AM778" s="1">
        <v>0</v>
      </c>
      <c r="AN778" s="1">
        <v>0</v>
      </c>
      <c r="AO778" s="1">
        <v>0</v>
      </c>
      <c r="AP778" s="1">
        <v>0</v>
      </c>
      <c r="AQ778" s="1">
        <v>1444.34</v>
      </c>
      <c r="AR778" s="1">
        <v>0</v>
      </c>
      <c r="AS778" s="1">
        <v>1444.34</v>
      </c>
      <c r="AT778" s="1">
        <v>0</v>
      </c>
      <c r="BA778" s="195"/>
      <c r="BB778" s="195"/>
      <c r="BC778" s="195"/>
      <c r="BD778" s="195"/>
      <c r="BE778" s="195"/>
      <c r="BF778" s="195"/>
      <c r="BG778" s="195"/>
      <c r="BH778" s="195"/>
      <c r="BI778" s="195"/>
    </row>
    <row r="779" spans="1:61" x14ac:dyDescent="0.25">
      <c r="A779" t="s">
        <v>343</v>
      </c>
      <c r="B779" t="s">
        <v>344</v>
      </c>
      <c r="C779" t="s">
        <v>1031</v>
      </c>
      <c r="D779" t="s">
        <v>1032</v>
      </c>
      <c r="E779" t="s">
        <v>1041</v>
      </c>
      <c r="F779" t="s">
        <v>1042</v>
      </c>
      <c r="G779" t="s">
        <v>1044</v>
      </c>
      <c r="H779" t="s">
        <v>142</v>
      </c>
      <c r="AG779" t="s">
        <v>896</v>
      </c>
      <c r="AH779" t="s">
        <v>897</v>
      </c>
      <c r="AI779" t="s">
        <v>353</v>
      </c>
      <c r="AJ779" t="s">
        <v>1044</v>
      </c>
      <c r="AK779" s="1">
        <v>1219.28</v>
      </c>
      <c r="AL779" s="1">
        <v>0</v>
      </c>
      <c r="AM779" s="1">
        <v>1219.28</v>
      </c>
      <c r="AN779" s="1">
        <v>892.32</v>
      </c>
      <c r="AO779" s="1">
        <v>0</v>
      </c>
      <c r="AP779" s="1">
        <v>892.32</v>
      </c>
      <c r="AQ779" s="1">
        <v>1175</v>
      </c>
      <c r="AR779" s="1">
        <v>0</v>
      </c>
      <c r="AS779" s="1">
        <v>1175</v>
      </c>
      <c r="AT779" s="1">
        <v>0</v>
      </c>
      <c r="BA779" s="195"/>
      <c r="BB779" s="195"/>
      <c r="BC779" s="195"/>
      <c r="BD779" s="195"/>
      <c r="BE779" s="195"/>
      <c r="BF779" s="195"/>
      <c r="BG779" s="195"/>
      <c r="BH779" s="195"/>
      <c r="BI779" s="195"/>
    </row>
    <row r="780" spans="1:61" x14ac:dyDescent="0.25">
      <c r="A780" t="s">
        <v>343</v>
      </c>
      <c r="B780" t="s">
        <v>344</v>
      </c>
      <c r="C780" t="s">
        <v>1031</v>
      </c>
      <c r="D780" t="s">
        <v>1032</v>
      </c>
      <c r="E780" t="s">
        <v>1041</v>
      </c>
      <c r="F780" t="s">
        <v>1042</v>
      </c>
      <c r="G780" t="s">
        <v>1044</v>
      </c>
      <c r="H780" t="s">
        <v>142</v>
      </c>
      <c r="AG780" t="s">
        <v>898</v>
      </c>
      <c r="AH780" t="s">
        <v>648</v>
      </c>
      <c r="AI780" t="s">
        <v>353</v>
      </c>
      <c r="AJ780" t="s">
        <v>1044</v>
      </c>
      <c r="AK780" s="1">
        <v>-14734</v>
      </c>
      <c r="AL780" s="1">
        <v>0</v>
      </c>
      <c r="AM780" s="1">
        <v>-14734</v>
      </c>
      <c r="AN780" s="1">
        <v>0</v>
      </c>
      <c r="AO780" s="1">
        <v>0</v>
      </c>
      <c r="AP780" s="1">
        <v>0</v>
      </c>
      <c r="AQ780" s="1">
        <v>7367</v>
      </c>
      <c r="AR780" s="1">
        <v>0</v>
      </c>
      <c r="AS780" s="1">
        <v>7367</v>
      </c>
      <c r="AT780" s="1">
        <v>0</v>
      </c>
      <c r="BA780" s="195"/>
      <c r="BB780" s="195"/>
      <c r="BC780" s="195"/>
      <c r="BD780" s="195"/>
      <c r="BE780" s="195"/>
      <c r="BF780" s="195"/>
      <c r="BG780" s="195"/>
      <c r="BH780" s="195"/>
      <c r="BI780" s="195"/>
    </row>
    <row r="781" spans="1:61" x14ac:dyDescent="0.25">
      <c r="A781" t="s">
        <v>343</v>
      </c>
      <c r="B781" t="s">
        <v>344</v>
      </c>
      <c r="C781" t="s">
        <v>1031</v>
      </c>
      <c r="D781" t="s">
        <v>1032</v>
      </c>
      <c r="E781" t="s">
        <v>1041</v>
      </c>
      <c r="F781" t="s">
        <v>1042</v>
      </c>
      <c r="G781" t="s">
        <v>1045</v>
      </c>
      <c r="H781" t="s">
        <v>82</v>
      </c>
      <c r="AG781" t="s">
        <v>424</v>
      </c>
      <c r="AH781" t="s">
        <v>425</v>
      </c>
      <c r="AI781" t="s">
        <v>353</v>
      </c>
      <c r="AJ781" t="s">
        <v>1045</v>
      </c>
      <c r="AK781" s="1">
        <v>900</v>
      </c>
      <c r="AL781" s="1">
        <v>0</v>
      </c>
      <c r="AM781" s="1">
        <v>900</v>
      </c>
      <c r="AN781" s="1">
        <v>0</v>
      </c>
      <c r="AO781" s="1"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BA781" s="195"/>
      <c r="BB781" s="195"/>
      <c r="BC781" s="195"/>
      <c r="BD781" s="195"/>
      <c r="BE781" s="195"/>
      <c r="BF781" s="195"/>
      <c r="BG781" s="195"/>
      <c r="BH781" s="195"/>
      <c r="BI781" s="195"/>
    </row>
    <row r="782" spans="1:61" x14ac:dyDescent="0.25">
      <c r="A782" t="s">
        <v>343</v>
      </c>
      <c r="B782" t="s">
        <v>344</v>
      </c>
      <c r="C782" t="s">
        <v>1031</v>
      </c>
      <c r="D782" t="s">
        <v>1032</v>
      </c>
      <c r="E782" t="s">
        <v>1041</v>
      </c>
      <c r="F782" t="s">
        <v>1042</v>
      </c>
      <c r="G782" t="s">
        <v>1045</v>
      </c>
      <c r="H782" t="s">
        <v>82</v>
      </c>
      <c r="AG782" t="s">
        <v>900</v>
      </c>
      <c r="AH782" t="s">
        <v>901</v>
      </c>
      <c r="AI782" t="s">
        <v>353</v>
      </c>
      <c r="AJ782" t="s">
        <v>1045</v>
      </c>
      <c r="AK782" s="1">
        <v>-59497.8</v>
      </c>
      <c r="AL782" s="1">
        <v>0</v>
      </c>
      <c r="AM782" s="1">
        <v>-59497.8</v>
      </c>
      <c r="AN782" s="1">
        <v>7238.1</v>
      </c>
      <c r="AO782" s="1">
        <v>0</v>
      </c>
      <c r="AP782" s="1">
        <v>7238.1</v>
      </c>
      <c r="AQ782" s="1">
        <v>36176.46</v>
      </c>
      <c r="AR782" s="1">
        <v>0</v>
      </c>
      <c r="AS782" s="1">
        <v>36176.46</v>
      </c>
      <c r="AT782" s="1">
        <v>0</v>
      </c>
      <c r="BA782" s="195"/>
      <c r="BB782" s="195"/>
      <c r="BC782" s="195"/>
      <c r="BD782" s="195"/>
      <c r="BE782" s="195"/>
      <c r="BF782" s="195"/>
      <c r="BG782" s="195"/>
      <c r="BH782" s="195"/>
      <c r="BI782" s="195"/>
    </row>
    <row r="783" spans="1:61" x14ac:dyDescent="0.25">
      <c r="A783" t="s">
        <v>343</v>
      </c>
      <c r="B783" t="s">
        <v>344</v>
      </c>
      <c r="C783" t="s">
        <v>1031</v>
      </c>
      <c r="D783" t="s">
        <v>1032</v>
      </c>
      <c r="E783" t="s">
        <v>1041</v>
      </c>
      <c r="F783" t="s">
        <v>1042</v>
      </c>
      <c r="G783" t="s">
        <v>1045</v>
      </c>
      <c r="H783" t="s">
        <v>82</v>
      </c>
      <c r="AG783" t="s">
        <v>454</v>
      </c>
      <c r="AH783" t="s">
        <v>455</v>
      </c>
      <c r="AI783" t="s">
        <v>353</v>
      </c>
      <c r="AJ783" t="s">
        <v>1045</v>
      </c>
      <c r="AK783" s="1">
        <v>83845.22</v>
      </c>
      <c r="AL783" s="1">
        <v>0</v>
      </c>
      <c r="AM783" s="1">
        <v>83845.22</v>
      </c>
      <c r="AN783" s="1">
        <v>9549.93</v>
      </c>
      <c r="AO783" s="1">
        <v>0</v>
      </c>
      <c r="AP783" s="1">
        <v>9549.93</v>
      </c>
      <c r="AQ783" s="1">
        <v>0</v>
      </c>
      <c r="AR783" s="1">
        <v>0</v>
      </c>
      <c r="AS783" s="1">
        <v>0</v>
      </c>
      <c r="AT783" s="1">
        <v>0</v>
      </c>
      <c r="BA783" s="195"/>
      <c r="BB783" s="195"/>
      <c r="BC783" s="195"/>
      <c r="BD783" s="195"/>
      <c r="BE783" s="195"/>
      <c r="BF783" s="195"/>
      <c r="BG783" s="195"/>
      <c r="BH783" s="195"/>
      <c r="BI783" s="195"/>
    </row>
    <row r="784" spans="1:61" x14ac:dyDescent="0.25">
      <c r="A784" t="s">
        <v>343</v>
      </c>
      <c r="B784" t="s">
        <v>344</v>
      </c>
      <c r="C784" t="s">
        <v>1031</v>
      </c>
      <c r="D784" t="s">
        <v>1032</v>
      </c>
      <c r="E784" t="s">
        <v>1041</v>
      </c>
      <c r="F784" t="s">
        <v>1042</v>
      </c>
      <c r="G784" t="s">
        <v>1046</v>
      </c>
      <c r="H784" t="s">
        <v>238</v>
      </c>
      <c r="AG784" t="s">
        <v>904</v>
      </c>
      <c r="AH784" t="s">
        <v>905</v>
      </c>
      <c r="AI784" t="s">
        <v>353</v>
      </c>
      <c r="AJ784" t="s">
        <v>1046</v>
      </c>
      <c r="AK784" s="1">
        <v>2748189.66</v>
      </c>
      <c r="AL784" s="1">
        <v>0</v>
      </c>
      <c r="AM784" s="1">
        <v>2748189.66</v>
      </c>
      <c r="AN784" s="1">
        <v>842986.03</v>
      </c>
      <c r="AO784" s="1">
        <v>0</v>
      </c>
      <c r="AP784" s="1">
        <v>842986.03</v>
      </c>
      <c r="AQ784" s="1">
        <v>311877.23</v>
      </c>
      <c r="AR784" s="1">
        <v>0</v>
      </c>
      <c r="AS784" s="1">
        <v>311877.23</v>
      </c>
      <c r="AT784" s="1">
        <v>0</v>
      </c>
      <c r="BA784" s="195"/>
      <c r="BB784" s="195"/>
      <c r="BC784" s="195"/>
      <c r="BD784" s="195"/>
      <c r="BE784" s="195"/>
      <c r="BF784" s="195"/>
      <c r="BG784" s="195"/>
      <c r="BH784" s="195"/>
      <c r="BI784" s="195"/>
    </row>
    <row r="785" spans="1:61" x14ac:dyDescent="0.25">
      <c r="A785" t="s">
        <v>343</v>
      </c>
      <c r="B785" t="s">
        <v>344</v>
      </c>
      <c r="C785" t="s">
        <v>1031</v>
      </c>
      <c r="D785" t="s">
        <v>1032</v>
      </c>
      <c r="E785" t="s">
        <v>1041</v>
      </c>
      <c r="F785" t="s">
        <v>1042</v>
      </c>
      <c r="G785" t="s">
        <v>1047</v>
      </c>
      <c r="H785" t="s">
        <v>907</v>
      </c>
      <c r="AG785" t="s">
        <v>908</v>
      </c>
      <c r="AH785" t="s">
        <v>909</v>
      </c>
      <c r="AI785" t="s">
        <v>353</v>
      </c>
      <c r="AJ785" t="s">
        <v>1047</v>
      </c>
      <c r="AK785" s="1">
        <v>104.08</v>
      </c>
      <c r="AL785" s="1">
        <v>0</v>
      </c>
      <c r="AM785" s="1">
        <v>104.08</v>
      </c>
      <c r="AN785" s="1">
        <v>26.02</v>
      </c>
      <c r="AO785" s="1">
        <v>0</v>
      </c>
      <c r="AP785" s="1">
        <v>26.02</v>
      </c>
      <c r="AQ785" s="1">
        <v>0</v>
      </c>
      <c r="AR785" s="1">
        <v>0</v>
      </c>
      <c r="AS785" s="1">
        <v>0</v>
      </c>
      <c r="AT785" s="1">
        <v>0</v>
      </c>
      <c r="BA785" s="195"/>
      <c r="BB785" s="195"/>
      <c r="BC785" s="195"/>
      <c r="BD785" s="195"/>
      <c r="BE785" s="195"/>
      <c r="BF785" s="195"/>
      <c r="BG785" s="195"/>
      <c r="BH785" s="195"/>
      <c r="BI785" s="195"/>
    </row>
    <row r="786" spans="1:61" x14ac:dyDescent="0.25">
      <c r="A786" t="s">
        <v>343</v>
      </c>
      <c r="B786" t="s">
        <v>344</v>
      </c>
      <c r="C786" t="s">
        <v>1031</v>
      </c>
      <c r="D786" t="s">
        <v>1032</v>
      </c>
      <c r="E786" t="s">
        <v>1048</v>
      </c>
      <c r="F786" t="s">
        <v>1049</v>
      </c>
      <c r="G786" t="s">
        <v>1050</v>
      </c>
      <c r="H786" t="s">
        <v>1051</v>
      </c>
      <c r="AG786" t="s">
        <v>351</v>
      </c>
      <c r="AH786" t="s">
        <v>352</v>
      </c>
      <c r="AI786" t="s">
        <v>353</v>
      </c>
      <c r="AJ786" t="s">
        <v>1050</v>
      </c>
      <c r="AK786" s="1">
        <v>-31652</v>
      </c>
      <c r="AL786" s="1">
        <v>0</v>
      </c>
      <c r="AM786" s="1">
        <v>-31652</v>
      </c>
      <c r="AN786" s="1">
        <v>0</v>
      </c>
      <c r="AO786" s="1">
        <v>0</v>
      </c>
      <c r="AP786" s="1">
        <v>0</v>
      </c>
      <c r="AQ786" s="1">
        <v>43963.89</v>
      </c>
      <c r="AR786" s="1">
        <v>0</v>
      </c>
      <c r="AS786" s="1">
        <v>43963.89</v>
      </c>
      <c r="AT786" s="1">
        <v>0</v>
      </c>
      <c r="BA786" s="195"/>
      <c r="BB786" s="195"/>
      <c r="BC786" s="195"/>
      <c r="BD786" s="195"/>
      <c r="BE786" s="195"/>
      <c r="BF786" s="195"/>
      <c r="BG786" s="195"/>
      <c r="BH786" s="195"/>
      <c r="BI786" s="195"/>
    </row>
    <row r="787" spans="1:61" x14ac:dyDescent="0.25">
      <c r="A787" t="s">
        <v>343</v>
      </c>
      <c r="B787" t="s">
        <v>344</v>
      </c>
      <c r="C787" t="s">
        <v>1031</v>
      </c>
      <c r="D787" t="s">
        <v>1032</v>
      </c>
      <c r="E787" t="s">
        <v>1048</v>
      </c>
      <c r="F787" t="s">
        <v>1049</v>
      </c>
      <c r="G787" t="s">
        <v>1050</v>
      </c>
      <c r="H787" t="s">
        <v>1051</v>
      </c>
      <c r="AG787" t="s">
        <v>373</v>
      </c>
      <c r="AH787" t="s">
        <v>374</v>
      </c>
      <c r="AI787" t="s">
        <v>353</v>
      </c>
      <c r="AJ787" t="s">
        <v>1050</v>
      </c>
      <c r="AK787" s="1">
        <v>55451.66</v>
      </c>
      <c r="AL787" s="1">
        <v>0</v>
      </c>
      <c r="AM787" s="1">
        <v>55451.66</v>
      </c>
      <c r="AN787" s="1">
        <v>27725.83</v>
      </c>
      <c r="AO787" s="1">
        <v>0</v>
      </c>
      <c r="AP787" s="1">
        <v>27725.83</v>
      </c>
      <c r="AQ787" s="1">
        <v>27725.83</v>
      </c>
      <c r="AR787" s="1">
        <v>0</v>
      </c>
      <c r="AS787" s="1">
        <v>27725.83</v>
      </c>
      <c r="AT787" s="1">
        <v>0</v>
      </c>
      <c r="BA787" s="195"/>
      <c r="BB787" s="195"/>
      <c r="BC787" s="195"/>
      <c r="BD787" s="195"/>
      <c r="BE787" s="195"/>
      <c r="BF787" s="195"/>
      <c r="BG787" s="195"/>
      <c r="BH787" s="195"/>
      <c r="BI787" s="195"/>
    </row>
    <row r="788" spans="1:61" x14ac:dyDescent="0.25">
      <c r="A788" t="s">
        <v>343</v>
      </c>
      <c r="B788" t="s">
        <v>344</v>
      </c>
      <c r="C788" t="s">
        <v>1031</v>
      </c>
      <c r="D788" t="s">
        <v>1032</v>
      </c>
      <c r="E788" t="s">
        <v>1048</v>
      </c>
      <c r="F788" t="s">
        <v>1049</v>
      </c>
      <c r="G788" t="s">
        <v>1050</v>
      </c>
      <c r="H788" t="s">
        <v>1051</v>
      </c>
      <c r="AG788" t="s">
        <v>375</v>
      </c>
      <c r="AH788" t="s">
        <v>376</v>
      </c>
      <c r="AI788" t="s">
        <v>353</v>
      </c>
      <c r="AJ788" t="s">
        <v>1050</v>
      </c>
      <c r="AK788" s="1">
        <v>23062.9</v>
      </c>
      <c r="AL788" s="1">
        <v>0</v>
      </c>
      <c r="AM788" s="1">
        <v>23062.9</v>
      </c>
      <c r="AN788" s="1">
        <v>11531.45</v>
      </c>
      <c r="AO788" s="1">
        <v>0</v>
      </c>
      <c r="AP788" s="1">
        <v>11531.45</v>
      </c>
      <c r="AQ788" s="1">
        <v>11531.45</v>
      </c>
      <c r="AR788" s="1">
        <v>0</v>
      </c>
      <c r="AS788" s="1">
        <v>11531.45</v>
      </c>
      <c r="AT788" s="1">
        <v>0</v>
      </c>
      <c r="BA788" s="195"/>
      <c r="BB788" s="195"/>
      <c r="BC788" s="195"/>
      <c r="BD788" s="195"/>
      <c r="BE788" s="195"/>
      <c r="BF788" s="195"/>
      <c r="BG788" s="195"/>
      <c r="BH788" s="195"/>
      <c r="BI788" s="195"/>
    </row>
    <row r="789" spans="1:61" x14ac:dyDescent="0.25">
      <c r="A789" t="s">
        <v>343</v>
      </c>
      <c r="B789" t="s">
        <v>344</v>
      </c>
      <c r="C789" t="s">
        <v>1031</v>
      </c>
      <c r="D789" t="s">
        <v>1032</v>
      </c>
      <c r="E789" t="s">
        <v>1048</v>
      </c>
      <c r="F789" t="s">
        <v>1049</v>
      </c>
      <c r="G789" t="s">
        <v>1050</v>
      </c>
      <c r="H789" t="s">
        <v>1051</v>
      </c>
      <c r="AG789" t="s">
        <v>377</v>
      </c>
      <c r="AH789" t="s">
        <v>378</v>
      </c>
      <c r="AI789" t="s">
        <v>353</v>
      </c>
      <c r="AJ789" t="s">
        <v>1050</v>
      </c>
      <c r="AK789" s="1">
        <v>639159.26</v>
      </c>
      <c r="AL789" s="1">
        <v>0</v>
      </c>
      <c r="AM789" s="1">
        <v>639159.26</v>
      </c>
      <c r="AN789" s="1">
        <v>364848.63</v>
      </c>
      <c r="AO789" s="1">
        <v>0</v>
      </c>
      <c r="AP789" s="1">
        <v>364848.63</v>
      </c>
      <c r="AQ789" s="1">
        <v>386400.19</v>
      </c>
      <c r="AR789" s="1">
        <v>0</v>
      </c>
      <c r="AS789" s="1">
        <v>386400.19</v>
      </c>
      <c r="AT789" s="1">
        <v>0</v>
      </c>
      <c r="BA789" s="195"/>
      <c r="BB789" s="195"/>
      <c r="BC789" s="195"/>
      <c r="BD789" s="195"/>
      <c r="BE789" s="195"/>
      <c r="BF789" s="195"/>
      <c r="BG789" s="195"/>
      <c r="BH789" s="195"/>
      <c r="BI789" s="195"/>
    </row>
    <row r="790" spans="1:61" x14ac:dyDescent="0.25">
      <c r="A790" t="s">
        <v>343</v>
      </c>
      <c r="B790" t="s">
        <v>344</v>
      </c>
      <c r="C790" t="s">
        <v>1031</v>
      </c>
      <c r="D790" t="s">
        <v>1032</v>
      </c>
      <c r="E790" t="s">
        <v>1048</v>
      </c>
      <c r="F790" t="s">
        <v>1049</v>
      </c>
      <c r="G790" t="s">
        <v>1050</v>
      </c>
      <c r="H790" t="s">
        <v>1051</v>
      </c>
      <c r="AG790" t="s">
        <v>379</v>
      </c>
      <c r="AH790" t="s">
        <v>380</v>
      </c>
      <c r="AI790" t="s">
        <v>353</v>
      </c>
      <c r="AJ790" t="s">
        <v>1050</v>
      </c>
      <c r="AK790" s="1">
        <v>199829.56</v>
      </c>
      <c r="AL790" s="1">
        <v>0</v>
      </c>
      <c r="AM790" s="1">
        <v>199829.56</v>
      </c>
      <c r="AN790" s="1">
        <v>91174.78</v>
      </c>
      <c r="AO790" s="1">
        <v>0</v>
      </c>
      <c r="AP790" s="1">
        <v>91174.78</v>
      </c>
      <c r="AQ790" s="1">
        <v>89876.78</v>
      </c>
      <c r="AR790" s="1">
        <v>0</v>
      </c>
      <c r="AS790" s="1">
        <v>89876.78</v>
      </c>
      <c r="AT790" s="1">
        <v>0</v>
      </c>
      <c r="BA790" s="195"/>
      <c r="BB790" s="195"/>
      <c r="BC790" s="195"/>
      <c r="BD790" s="195"/>
      <c r="BE790" s="195"/>
      <c r="BF790" s="195"/>
      <c r="BG790" s="195"/>
      <c r="BH790" s="195"/>
      <c r="BI790" s="195"/>
    </row>
    <row r="791" spans="1:61" x14ac:dyDescent="0.25">
      <c r="A791" t="s">
        <v>343</v>
      </c>
      <c r="B791" t="s">
        <v>344</v>
      </c>
      <c r="C791" t="s">
        <v>1031</v>
      </c>
      <c r="D791" t="s">
        <v>1032</v>
      </c>
      <c r="E791" t="s">
        <v>1048</v>
      </c>
      <c r="F791" t="s">
        <v>1049</v>
      </c>
      <c r="G791" t="s">
        <v>1050</v>
      </c>
      <c r="H791" t="s">
        <v>1051</v>
      </c>
      <c r="AG791" t="s">
        <v>369</v>
      </c>
      <c r="AH791" t="s">
        <v>370</v>
      </c>
      <c r="AI791" t="s">
        <v>353</v>
      </c>
      <c r="AJ791" t="s">
        <v>1050</v>
      </c>
      <c r="AK791" s="1">
        <v>60517.48</v>
      </c>
      <c r="AL791" s="1">
        <v>0</v>
      </c>
      <c r="AM791" s="1">
        <v>60517.48</v>
      </c>
      <c r="AN791" s="1">
        <v>0</v>
      </c>
      <c r="AO791" s="1">
        <v>0</v>
      </c>
      <c r="AP791" s="1">
        <v>0</v>
      </c>
      <c r="AQ791" s="1">
        <v>-28448.11</v>
      </c>
      <c r="AR791" s="1">
        <v>0</v>
      </c>
      <c r="AS791" s="1">
        <v>-28448.11</v>
      </c>
      <c r="AT791" s="1">
        <v>0</v>
      </c>
      <c r="BA791" s="195"/>
      <c r="BB791" s="195"/>
      <c r="BC791" s="195"/>
      <c r="BD791" s="195"/>
      <c r="BE791" s="195"/>
      <c r="BF791" s="195"/>
      <c r="BG791" s="195"/>
      <c r="BH791" s="195"/>
      <c r="BI791" s="195"/>
    </row>
    <row r="792" spans="1:61" x14ac:dyDescent="0.25">
      <c r="A792" t="s">
        <v>343</v>
      </c>
      <c r="B792" t="s">
        <v>344</v>
      </c>
      <c r="C792" t="s">
        <v>1031</v>
      </c>
      <c r="D792" t="s">
        <v>1032</v>
      </c>
      <c r="E792" t="s">
        <v>1048</v>
      </c>
      <c r="F792" t="s">
        <v>1049</v>
      </c>
      <c r="G792" t="s">
        <v>1050</v>
      </c>
      <c r="H792" t="s">
        <v>1051</v>
      </c>
      <c r="AG792" t="s">
        <v>381</v>
      </c>
      <c r="AH792" t="s">
        <v>382</v>
      </c>
      <c r="AI792" t="s">
        <v>353</v>
      </c>
      <c r="AJ792" t="s">
        <v>1050</v>
      </c>
      <c r="AK792" s="1">
        <v>-53829.22</v>
      </c>
      <c r="AL792" s="1">
        <v>0</v>
      </c>
      <c r="AM792" s="1">
        <v>-53829.22</v>
      </c>
      <c r="AN792" s="1">
        <v>-26314.61</v>
      </c>
      <c r="AO792" s="1">
        <v>0</v>
      </c>
      <c r="AP792" s="1">
        <v>-26314.61</v>
      </c>
      <c r="AQ792" s="1">
        <v>-25761.13</v>
      </c>
      <c r="AR792" s="1">
        <v>0</v>
      </c>
      <c r="AS792" s="1">
        <v>-25761.13</v>
      </c>
      <c r="AT792" s="1">
        <v>0</v>
      </c>
      <c r="BA792" s="195"/>
      <c r="BB792" s="195"/>
      <c r="BC792" s="195"/>
      <c r="BD792" s="195"/>
      <c r="BE792" s="195"/>
      <c r="BF792" s="195"/>
      <c r="BG792" s="195"/>
      <c r="BH792" s="195"/>
      <c r="BI792" s="195"/>
    </row>
    <row r="793" spans="1:61" x14ac:dyDescent="0.25">
      <c r="A793" t="s">
        <v>343</v>
      </c>
      <c r="B793" t="s">
        <v>344</v>
      </c>
      <c r="C793" t="s">
        <v>1031</v>
      </c>
      <c r="D793" t="s">
        <v>1032</v>
      </c>
      <c r="E793" t="s">
        <v>1048</v>
      </c>
      <c r="F793" t="s">
        <v>1049</v>
      </c>
      <c r="G793" t="s">
        <v>1050</v>
      </c>
      <c r="H793" t="s">
        <v>1051</v>
      </c>
      <c r="AG793" t="s">
        <v>383</v>
      </c>
      <c r="AH793" t="s">
        <v>384</v>
      </c>
      <c r="AI793" t="s">
        <v>353</v>
      </c>
      <c r="AJ793" t="s">
        <v>1050</v>
      </c>
      <c r="AK793" s="1">
        <v>-23062.9</v>
      </c>
      <c r="AL793" s="1">
        <v>0</v>
      </c>
      <c r="AM793" s="1">
        <v>-23062.9</v>
      </c>
      <c r="AN793" s="1">
        <v>-11531.45</v>
      </c>
      <c r="AO793" s="1">
        <v>0</v>
      </c>
      <c r="AP793" s="1">
        <v>-11531.45</v>
      </c>
      <c r="AQ793" s="1">
        <v>-11531.45</v>
      </c>
      <c r="AR793" s="1">
        <v>0</v>
      </c>
      <c r="AS793" s="1">
        <v>-11531.45</v>
      </c>
      <c r="AT793" s="1">
        <v>0</v>
      </c>
      <c r="BA793" s="195"/>
      <c r="BB793" s="195"/>
      <c r="BC793" s="195"/>
      <c r="BD793" s="195"/>
      <c r="BE793" s="195"/>
      <c r="BF793" s="195"/>
      <c r="BG793" s="195"/>
      <c r="BH793" s="195"/>
      <c r="BI793" s="195"/>
    </row>
    <row r="794" spans="1:61" x14ac:dyDescent="0.25">
      <c r="A794" t="s">
        <v>343</v>
      </c>
      <c r="B794" t="s">
        <v>344</v>
      </c>
      <c r="C794" t="s">
        <v>1031</v>
      </c>
      <c r="D794" t="s">
        <v>1032</v>
      </c>
      <c r="E794" t="s">
        <v>1048</v>
      </c>
      <c r="F794" t="s">
        <v>1049</v>
      </c>
      <c r="G794" t="s">
        <v>1050</v>
      </c>
      <c r="H794" t="s">
        <v>1051</v>
      </c>
      <c r="AG794" t="s">
        <v>385</v>
      </c>
      <c r="AH794" t="s">
        <v>386</v>
      </c>
      <c r="AI794" t="s">
        <v>353</v>
      </c>
      <c r="AJ794" t="s">
        <v>1050</v>
      </c>
      <c r="AK794" s="1">
        <v>-698109.24</v>
      </c>
      <c r="AL794" s="1">
        <v>0</v>
      </c>
      <c r="AM794" s="1">
        <v>-698109.24</v>
      </c>
      <c r="AN794" s="1">
        <v>-349907.09</v>
      </c>
      <c r="AO794" s="1">
        <v>0</v>
      </c>
      <c r="AP794" s="1">
        <v>-349907.09</v>
      </c>
      <c r="AQ794" s="1">
        <v>-363977.45</v>
      </c>
      <c r="AR794" s="1">
        <v>0</v>
      </c>
      <c r="AS794" s="1">
        <v>-363977.45</v>
      </c>
      <c r="AT794" s="1">
        <v>0</v>
      </c>
      <c r="BA794" s="195"/>
      <c r="BB794" s="195"/>
      <c r="BC794" s="195"/>
      <c r="BD794" s="195"/>
      <c r="BE794" s="195"/>
      <c r="BF794" s="195"/>
      <c r="BG794" s="195"/>
      <c r="BH794" s="195"/>
      <c r="BI794" s="195"/>
    </row>
    <row r="795" spans="1:61" x14ac:dyDescent="0.25">
      <c r="A795" t="s">
        <v>343</v>
      </c>
      <c r="B795" t="s">
        <v>344</v>
      </c>
      <c r="C795" t="s">
        <v>1031</v>
      </c>
      <c r="D795" t="s">
        <v>1032</v>
      </c>
      <c r="E795" t="s">
        <v>1048</v>
      </c>
      <c r="F795" t="s">
        <v>1049</v>
      </c>
      <c r="G795" t="s">
        <v>1050</v>
      </c>
      <c r="H795" t="s">
        <v>1051</v>
      </c>
      <c r="AG795" t="s">
        <v>387</v>
      </c>
      <c r="AH795" t="s">
        <v>388</v>
      </c>
      <c r="AI795" t="s">
        <v>353</v>
      </c>
      <c r="AJ795" t="s">
        <v>1050</v>
      </c>
      <c r="AK795" s="1">
        <v>-160453.42000000001</v>
      </c>
      <c r="AL795" s="1">
        <v>0</v>
      </c>
      <c r="AM795" s="1">
        <v>-160453.42000000001</v>
      </c>
      <c r="AN795" s="1">
        <v>-71726.710000000006</v>
      </c>
      <c r="AO795" s="1">
        <v>0</v>
      </c>
      <c r="AP795" s="1">
        <v>-71726.710000000006</v>
      </c>
      <c r="AQ795" s="1">
        <v>-63533.63</v>
      </c>
      <c r="AR795" s="1">
        <v>0</v>
      </c>
      <c r="AS795" s="1">
        <v>-63533.63</v>
      </c>
      <c r="AT795" s="1">
        <v>0</v>
      </c>
      <c r="BA795" s="195"/>
      <c r="BB795" s="195"/>
      <c r="BC795" s="195"/>
      <c r="BD795" s="195"/>
      <c r="BE795" s="195"/>
      <c r="BF795" s="195"/>
      <c r="BG795" s="195"/>
      <c r="BH795" s="195"/>
      <c r="BI795" s="195"/>
    </row>
    <row r="796" spans="1:61" x14ac:dyDescent="0.25">
      <c r="A796" t="s">
        <v>343</v>
      </c>
      <c r="B796" t="s">
        <v>344</v>
      </c>
      <c r="C796" t="s">
        <v>1031</v>
      </c>
      <c r="D796" t="s">
        <v>1032</v>
      </c>
      <c r="E796" t="s">
        <v>1048</v>
      </c>
      <c r="F796" t="s">
        <v>1049</v>
      </c>
      <c r="G796" t="s">
        <v>1052</v>
      </c>
      <c r="H796" t="s">
        <v>1053</v>
      </c>
      <c r="AG796" t="s">
        <v>392</v>
      </c>
      <c r="AH796" t="s">
        <v>393</v>
      </c>
      <c r="AI796" t="s">
        <v>353</v>
      </c>
      <c r="AJ796" t="s">
        <v>1052</v>
      </c>
      <c r="AK796" s="1">
        <v>52137.56</v>
      </c>
      <c r="AL796" s="1">
        <v>0</v>
      </c>
      <c r="AM796" s="1">
        <v>52137.56</v>
      </c>
      <c r="AN796" s="1">
        <v>26068.78</v>
      </c>
      <c r="AO796" s="1">
        <v>0</v>
      </c>
      <c r="AP796" s="1">
        <v>26068.78</v>
      </c>
      <c r="AQ796" s="1">
        <v>26068.78</v>
      </c>
      <c r="AR796" s="1">
        <v>0</v>
      </c>
      <c r="AS796" s="1">
        <v>26068.78</v>
      </c>
      <c r="AT796" s="1">
        <v>0</v>
      </c>
      <c r="BA796" s="195"/>
      <c r="BB796" s="195"/>
      <c r="BC796" s="195"/>
      <c r="BD796" s="195"/>
      <c r="BE796" s="195"/>
      <c r="BF796" s="195"/>
      <c r="BG796" s="195"/>
      <c r="BH796" s="195"/>
      <c r="BI796" s="195"/>
    </row>
    <row r="797" spans="1:61" x14ac:dyDescent="0.25">
      <c r="A797" t="s">
        <v>343</v>
      </c>
      <c r="B797" t="s">
        <v>344</v>
      </c>
      <c r="C797" t="s">
        <v>1031</v>
      </c>
      <c r="D797" t="s">
        <v>1032</v>
      </c>
      <c r="E797" t="s">
        <v>1048</v>
      </c>
      <c r="F797" t="s">
        <v>1049</v>
      </c>
      <c r="G797" t="s">
        <v>1052</v>
      </c>
      <c r="H797" t="s">
        <v>1053</v>
      </c>
      <c r="AG797" t="s">
        <v>394</v>
      </c>
      <c r="AH797" t="s">
        <v>395</v>
      </c>
      <c r="AI797" t="s">
        <v>353</v>
      </c>
      <c r="AJ797" t="s">
        <v>1052</v>
      </c>
      <c r="AK797" s="1">
        <v>35368.18</v>
      </c>
      <c r="AL797" s="1">
        <v>0</v>
      </c>
      <c r="AM797" s="1">
        <v>35368.18</v>
      </c>
      <c r="AN797" s="1">
        <v>17684.09</v>
      </c>
      <c r="AO797" s="1">
        <v>0</v>
      </c>
      <c r="AP797" s="1">
        <v>17684.09</v>
      </c>
      <c r="AQ797" s="1">
        <v>17684.09</v>
      </c>
      <c r="AR797" s="1">
        <v>0</v>
      </c>
      <c r="AS797" s="1">
        <v>17684.09</v>
      </c>
      <c r="AT797" s="1">
        <v>0</v>
      </c>
      <c r="BA797" s="195"/>
      <c r="BB797" s="195"/>
      <c r="BC797" s="195"/>
      <c r="BD797" s="195"/>
      <c r="BE797" s="195"/>
      <c r="BF797" s="195"/>
      <c r="BG797" s="195"/>
      <c r="BH797" s="195"/>
      <c r="BI797" s="195"/>
    </row>
    <row r="798" spans="1:61" x14ac:dyDescent="0.25">
      <c r="A798" t="s">
        <v>343</v>
      </c>
      <c r="B798" t="s">
        <v>344</v>
      </c>
      <c r="C798" t="s">
        <v>1031</v>
      </c>
      <c r="D798" t="s">
        <v>1032</v>
      </c>
      <c r="E798" t="s">
        <v>1048</v>
      </c>
      <c r="F798" t="s">
        <v>1049</v>
      </c>
      <c r="G798" t="s">
        <v>1052</v>
      </c>
      <c r="H798" t="s">
        <v>1053</v>
      </c>
      <c r="AG798" t="s">
        <v>396</v>
      </c>
      <c r="AH798" t="s">
        <v>397</v>
      </c>
      <c r="AI798" t="s">
        <v>353</v>
      </c>
      <c r="AJ798" t="s">
        <v>1052</v>
      </c>
      <c r="AK798" s="1">
        <v>914.7</v>
      </c>
      <c r="AL798" s="1">
        <v>0</v>
      </c>
      <c r="AM798" s="1">
        <v>914.7</v>
      </c>
      <c r="AN798" s="1">
        <v>457.35</v>
      </c>
      <c r="AO798" s="1">
        <v>0</v>
      </c>
      <c r="AP798" s="1">
        <v>457.35</v>
      </c>
      <c r="AQ798" s="1">
        <v>457.35</v>
      </c>
      <c r="AR798" s="1">
        <v>0</v>
      </c>
      <c r="AS798" s="1">
        <v>457.35</v>
      </c>
      <c r="AT798" s="1">
        <v>0</v>
      </c>
      <c r="BA798" s="195"/>
      <c r="BB798" s="195"/>
      <c r="BC798" s="195"/>
      <c r="BD798" s="195"/>
      <c r="BE798" s="195"/>
      <c r="BF798" s="195"/>
      <c r="BG798" s="195"/>
      <c r="BH798" s="195"/>
      <c r="BI798" s="195"/>
    </row>
    <row r="799" spans="1:61" x14ac:dyDescent="0.25">
      <c r="A799" t="s">
        <v>343</v>
      </c>
      <c r="B799" t="s">
        <v>344</v>
      </c>
      <c r="C799" t="s">
        <v>1031</v>
      </c>
      <c r="D799" t="s">
        <v>1032</v>
      </c>
      <c r="E799" t="s">
        <v>1048</v>
      </c>
      <c r="F799" t="s">
        <v>1049</v>
      </c>
      <c r="G799" t="s">
        <v>1052</v>
      </c>
      <c r="H799" t="s">
        <v>1053</v>
      </c>
      <c r="AG799" t="s">
        <v>398</v>
      </c>
      <c r="AH799" t="s">
        <v>399</v>
      </c>
      <c r="AI799" t="s">
        <v>353</v>
      </c>
      <c r="AJ799" t="s">
        <v>1052</v>
      </c>
      <c r="AK799" s="1">
        <v>-11718.78</v>
      </c>
      <c r="AL799" s="1">
        <v>0</v>
      </c>
      <c r="AM799" s="1">
        <v>-11718.78</v>
      </c>
      <c r="AN799" s="1">
        <v>0</v>
      </c>
      <c r="AO799" s="1">
        <v>0</v>
      </c>
      <c r="AP799" s="1">
        <v>0</v>
      </c>
      <c r="AQ799" s="1">
        <v>5292</v>
      </c>
      <c r="AR799" s="1">
        <v>0</v>
      </c>
      <c r="AS799" s="1">
        <v>5292</v>
      </c>
      <c r="AT799" s="1">
        <v>0</v>
      </c>
      <c r="BA799" s="195"/>
      <c r="BB799" s="195"/>
      <c r="BC799" s="195"/>
      <c r="BD799" s="195"/>
      <c r="BE799" s="195"/>
      <c r="BF799" s="195"/>
      <c r="BG799" s="195"/>
      <c r="BH799" s="195"/>
      <c r="BI799" s="195"/>
    </row>
    <row r="800" spans="1:61" x14ac:dyDescent="0.25">
      <c r="A800" t="s">
        <v>343</v>
      </c>
      <c r="B800" t="s">
        <v>344</v>
      </c>
      <c r="C800" t="s">
        <v>1031</v>
      </c>
      <c r="D800" t="s">
        <v>1032</v>
      </c>
      <c r="E800" t="s">
        <v>1048</v>
      </c>
      <c r="F800" t="s">
        <v>1049</v>
      </c>
      <c r="G800" t="s">
        <v>1052</v>
      </c>
      <c r="H800" t="s">
        <v>1053</v>
      </c>
      <c r="AG800" t="s">
        <v>400</v>
      </c>
      <c r="AH800" t="s">
        <v>401</v>
      </c>
      <c r="AI800" t="s">
        <v>353</v>
      </c>
      <c r="AJ800" t="s">
        <v>1052</v>
      </c>
      <c r="AK800" s="1">
        <v>27940.54</v>
      </c>
      <c r="AL800" s="1">
        <v>0</v>
      </c>
      <c r="AM800" s="1">
        <v>27940.54</v>
      </c>
      <c r="AN800" s="1">
        <v>13918.01</v>
      </c>
      <c r="AO800" s="1">
        <v>0</v>
      </c>
      <c r="AP800" s="1">
        <v>13918.01</v>
      </c>
      <c r="AQ800" s="1">
        <v>9200.01</v>
      </c>
      <c r="AR800" s="1">
        <v>0</v>
      </c>
      <c r="AS800" s="1">
        <v>9200.01</v>
      </c>
      <c r="AT800" s="1">
        <v>0</v>
      </c>
      <c r="BA800" s="195"/>
      <c r="BB800" s="195"/>
      <c r="BC800" s="195"/>
      <c r="BD800" s="195"/>
      <c r="BE800" s="195"/>
      <c r="BF800" s="195"/>
      <c r="BG800" s="195"/>
      <c r="BH800" s="195"/>
      <c r="BI800" s="195"/>
    </row>
    <row r="801" spans="1:61" x14ac:dyDescent="0.25">
      <c r="A801" t="s">
        <v>343</v>
      </c>
      <c r="B801" t="s">
        <v>344</v>
      </c>
      <c r="C801" t="s">
        <v>1031</v>
      </c>
      <c r="D801" t="s">
        <v>1032</v>
      </c>
      <c r="E801" t="s">
        <v>1048</v>
      </c>
      <c r="F801" t="s">
        <v>1049</v>
      </c>
      <c r="G801" t="s">
        <v>1052</v>
      </c>
      <c r="H801" t="s">
        <v>1053</v>
      </c>
      <c r="AG801" t="s">
        <v>402</v>
      </c>
      <c r="AH801" t="s">
        <v>403</v>
      </c>
      <c r="AI801" t="s">
        <v>353</v>
      </c>
      <c r="AJ801" t="s">
        <v>1052</v>
      </c>
      <c r="AK801" s="1">
        <v>60</v>
      </c>
      <c r="AL801" s="1">
        <v>0</v>
      </c>
      <c r="AM801" s="1">
        <v>60</v>
      </c>
      <c r="AN801" s="1">
        <v>30</v>
      </c>
      <c r="AO801" s="1">
        <v>0</v>
      </c>
      <c r="AP801" s="1">
        <v>30</v>
      </c>
      <c r="AQ801" s="1">
        <v>30</v>
      </c>
      <c r="AR801" s="1">
        <v>0</v>
      </c>
      <c r="AS801" s="1">
        <v>30</v>
      </c>
      <c r="AT801" s="1">
        <v>0</v>
      </c>
      <c r="BA801" s="195"/>
      <c r="BB801" s="195"/>
      <c r="BC801" s="195"/>
      <c r="BD801" s="195"/>
      <c r="BE801" s="195"/>
      <c r="BF801" s="195"/>
      <c r="BG801" s="195"/>
      <c r="BH801" s="195"/>
      <c r="BI801" s="195"/>
    </row>
    <row r="802" spans="1:61" x14ac:dyDescent="0.25">
      <c r="A802" t="s">
        <v>343</v>
      </c>
      <c r="B802" t="s">
        <v>344</v>
      </c>
      <c r="C802" t="s">
        <v>1031</v>
      </c>
      <c r="D802" t="s">
        <v>1032</v>
      </c>
      <c r="E802" t="s">
        <v>1048</v>
      </c>
      <c r="F802" t="s">
        <v>1049</v>
      </c>
      <c r="G802" t="s">
        <v>1054</v>
      </c>
      <c r="H802" t="s">
        <v>1055</v>
      </c>
      <c r="AG802" t="s">
        <v>717</v>
      </c>
      <c r="AH802" t="s">
        <v>718</v>
      </c>
      <c r="AI802" t="s">
        <v>353</v>
      </c>
      <c r="AJ802" t="s">
        <v>1054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v>0</v>
      </c>
      <c r="AQ802" s="1">
        <v>4396.37</v>
      </c>
      <c r="AR802" s="1">
        <v>0</v>
      </c>
      <c r="AS802" s="1">
        <v>4396.37</v>
      </c>
      <c r="AT802" s="1">
        <v>0</v>
      </c>
      <c r="BA802" s="195"/>
      <c r="BB802" s="195"/>
      <c r="BC802" s="195"/>
      <c r="BD802" s="195"/>
      <c r="BE802" s="195"/>
      <c r="BF802" s="195"/>
      <c r="BG802" s="195"/>
      <c r="BH802" s="195"/>
      <c r="BI802" s="195"/>
    </row>
    <row r="803" spans="1:61" x14ac:dyDescent="0.25">
      <c r="A803" t="s">
        <v>343</v>
      </c>
      <c r="B803" t="s">
        <v>344</v>
      </c>
      <c r="C803" t="s">
        <v>1031</v>
      </c>
      <c r="D803" t="s">
        <v>1032</v>
      </c>
      <c r="E803" t="s">
        <v>1048</v>
      </c>
      <c r="F803" t="s">
        <v>1049</v>
      </c>
      <c r="G803" t="s">
        <v>1054</v>
      </c>
      <c r="H803" t="s">
        <v>1055</v>
      </c>
      <c r="AG803" t="s">
        <v>719</v>
      </c>
      <c r="AH803" t="s">
        <v>720</v>
      </c>
      <c r="AI803" t="s">
        <v>353</v>
      </c>
      <c r="AJ803" t="s">
        <v>1054</v>
      </c>
      <c r="AK803" s="1">
        <v>1106.96</v>
      </c>
      <c r="AL803" s="1">
        <v>0</v>
      </c>
      <c r="AM803" s="1">
        <v>1106.96</v>
      </c>
      <c r="AN803" s="1">
        <v>553.48</v>
      </c>
      <c r="AO803" s="1">
        <v>0</v>
      </c>
      <c r="AP803" s="1">
        <v>553.48</v>
      </c>
      <c r="AQ803" s="1">
        <v>518.25</v>
      </c>
      <c r="AR803" s="1">
        <v>0</v>
      </c>
      <c r="AS803" s="1">
        <v>518.25</v>
      </c>
      <c r="AT803" s="1">
        <v>0</v>
      </c>
      <c r="BA803" s="195"/>
      <c r="BB803" s="195"/>
      <c r="BC803" s="195"/>
      <c r="BD803" s="195"/>
      <c r="BE803" s="195"/>
      <c r="BF803" s="195"/>
      <c r="BG803" s="195"/>
      <c r="BH803" s="195"/>
      <c r="BI803" s="195"/>
    </row>
    <row r="804" spans="1:61" x14ac:dyDescent="0.25">
      <c r="A804" t="s">
        <v>343</v>
      </c>
      <c r="B804" t="s">
        <v>344</v>
      </c>
      <c r="C804" t="s">
        <v>1031</v>
      </c>
      <c r="D804" t="s">
        <v>1032</v>
      </c>
      <c r="E804" t="s">
        <v>1048</v>
      </c>
      <c r="F804" t="s">
        <v>1049</v>
      </c>
      <c r="G804" t="s">
        <v>1054</v>
      </c>
      <c r="H804" t="s">
        <v>1055</v>
      </c>
      <c r="AG804" t="s">
        <v>721</v>
      </c>
      <c r="AH804" t="s">
        <v>722</v>
      </c>
      <c r="AI804" t="s">
        <v>353</v>
      </c>
      <c r="AJ804" t="s">
        <v>1054</v>
      </c>
      <c r="AK804" s="1">
        <v>31257.54</v>
      </c>
      <c r="AL804" s="1">
        <v>0</v>
      </c>
      <c r="AM804" s="1">
        <v>31257.54</v>
      </c>
      <c r="AN804" s="1">
        <v>15628.77</v>
      </c>
      <c r="AO804" s="1">
        <v>0</v>
      </c>
      <c r="AP804" s="1">
        <v>15628.77</v>
      </c>
      <c r="AQ804" s="1">
        <v>22130.61</v>
      </c>
      <c r="AR804" s="1">
        <v>0</v>
      </c>
      <c r="AS804" s="1">
        <v>22130.61</v>
      </c>
      <c r="AT804" s="1">
        <v>0</v>
      </c>
      <c r="BA804" s="195"/>
      <c r="BB804" s="195"/>
      <c r="BC804" s="195"/>
      <c r="BD804" s="195"/>
      <c r="BE804" s="195"/>
      <c r="BF804" s="195"/>
      <c r="BG804" s="195"/>
      <c r="BH804" s="195"/>
      <c r="BI804" s="195"/>
    </row>
    <row r="805" spans="1:61" x14ac:dyDescent="0.25">
      <c r="A805" t="s">
        <v>343</v>
      </c>
      <c r="B805" t="s">
        <v>344</v>
      </c>
      <c r="C805" t="s">
        <v>1031</v>
      </c>
      <c r="D805" t="s">
        <v>1032</v>
      </c>
      <c r="E805" t="s">
        <v>1048</v>
      </c>
      <c r="F805" t="s">
        <v>1049</v>
      </c>
      <c r="G805" t="s">
        <v>1054</v>
      </c>
      <c r="H805" t="s">
        <v>1055</v>
      </c>
      <c r="AG805" t="s">
        <v>723</v>
      </c>
      <c r="AH805" t="s">
        <v>724</v>
      </c>
      <c r="AI805" t="s">
        <v>353</v>
      </c>
      <c r="AJ805" t="s">
        <v>1054</v>
      </c>
      <c r="AK805" s="1">
        <v>16386.16</v>
      </c>
      <c r="AL805" s="1">
        <v>0</v>
      </c>
      <c r="AM805" s="1">
        <v>16386.16</v>
      </c>
      <c r="AN805" s="1">
        <v>8193.08</v>
      </c>
      <c r="AO805" s="1">
        <v>0</v>
      </c>
      <c r="AP805" s="1">
        <v>8193.08</v>
      </c>
      <c r="AQ805" s="1">
        <v>7841.55</v>
      </c>
      <c r="AR805" s="1">
        <v>0</v>
      </c>
      <c r="AS805" s="1">
        <v>7841.55</v>
      </c>
      <c r="AT805" s="1">
        <v>0</v>
      </c>
      <c r="BA805" s="195"/>
      <c r="BB805" s="195"/>
      <c r="BC805" s="195"/>
      <c r="BD805" s="195"/>
      <c r="BE805" s="195"/>
      <c r="BF805" s="195"/>
      <c r="BG805" s="195"/>
      <c r="BH805" s="195"/>
      <c r="BI805" s="195"/>
    </row>
    <row r="806" spans="1:61" x14ac:dyDescent="0.25">
      <c r="A806" t="s">
        <v>343</v>
      </c>
      <c r="B806" t="s">
        <v>344</v>
      </c>
      <c r="C806" t="s">
        <v>1056</v>
      </c>
      <c r="D806" t="s">
        <v>1057</v>
      </c>
      <c r="E806" t="s">
        <v>1058</v>
      </c>
      <c r="F806" t="s">
        <v>1059</v>
      </c>
      <c r="G806" t="s">
        <v>1060</v>
      </c>
      <c r="H806" t="s">
        <v>1061</v>
      </c>
      <c r="I806" t="s">
        <v>1062</v>
      </c>
      <c r="J806" t="s">
        <v>294</v>
      </c>
      <c r="AG806" t="s">
        <v>491</v>
      </c>
      <c r="AH806" t="s">
        <v>492</v>
      </c>
      <c r="AI806" t="s">
        <v>353</v>
      </c>
      <c r="AJ806" t="s">
        <v>1062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v>0</v>
      </c>
      <c r="AQ806" s="1">
        <v>711450</v>
      </c>
      <c r="AR806" s="1">
        <v>0</v>
      </c>
      <c r="AS806" s="1">
        <v>711450</v>
      </c>
      <c r="AT806" s="1">
        <v>0</v>
      </c>
      <c r="BA806" s="195"/>
      <c r="BB806" s="195"/>
      <c r="BC806" s="195"/>
      <c r="BD806" s="195"/>
      <c r="BE806" s="195"/>
      <c r="BF806" s="195"/>
      <c r="BG806" s="195"/>
      <c r="BH806" s="195"/>
      <c r="BI806" s="195"/>
    </row>
    <row r="807" spans="1:61" x14ac:dyDescent="0.25">
      <c r="A807" t="s">
        <v>343</v>
      </c>
      <c r="B807" t="s">
        <v>344</v>
      </c>
      <c r="C807" t="s">
        <v>1056</v>
      </c>
      <c r="D807" t="s">
        <v>1057</v>
      </c>
      <c r="E807" t="s">
        <v>1058</v>
      </c>
      <c r="F807" t="s">
        <v>1059</v>
      </c>
      <c r="G807" t="s">
        <v>1063</v>
      </c>
      <c r="H807" t="s">
        <v>1064</v>
      </c>
      <c r="I807" t="s">
        <v>1065</v>
      </c>
      <c r="J807" t="s">
        <v>56</v>
      </c>
      <c r="K807" t="s">
        <v>1066</v>
      </c>
      <c r="L807" t="s">
        <v>57</v>
      </c>
      <c r="AG807" t="s">
        <v>351</v>
      </c>
      <c r="AH807" t="s">
        <v>352</v>
      </c>
      <c r="AI807" t="s">
        <v>353</v>
      </c>
      <c r="AJ807" t="s">
        <v>1066</v>
      </c>
      <c r="AK807" s="1">
        <v>-31652</v>
      </c>
      <c r="AL807" s="1">
        <v>0</v>
      </c>
      <c r="AM807" s="1">
        <v>-31652</v>
      </c>
      <c r="AN807" s="1">
        <v>-43963.89</v>
      </c>
      <c r="AO807" s="1">
        <v>0</v>
      </c>
      <c r="AP807" s="1">
        <v>-43963.89</v>
      </c>
      <c r="AQ807" s="1">
        <v>43963.89</v>
      </c>
      <c r="AR807" s="1">
        <v>0</v>
      </c>
      <c r="AS807" s="1">
        <v>43963.89</v>
      </c>
      <c r="AT807" s="1">
        <v>0</v>
      </c>
      <c r="BA807" s="195"/>
      <c r="BB807" s="195"/>
      <c r="BC807" s="195"/>
      <c r="BD807" s="195"/>
      <c r="BE807" s="195"/>
      <c r="BF807" s="195"/>
      <c r="BG807" s="195"/>
      <c r="BH807" s="195"/>
      <c r="BI807" s="195"/>
    </row>
    <row r="808" spans="1:61" x14ac:dyDescent="0.25">
      <c r="A808" t="s">
        <v>343</v>
      </c>
      <c r="B808" t="s">
        <v>344</v>
      </c>
      <c r="C808" t="s">
        <v>1056</v>
      </c>
      <c r="D808" t="s">
        <v>1057</v>
      </c>
      <c r="E808" t="s">
        <v>1058</v>
      </c>
      <c r="F808" t="s">
        <v>1059</v>
      </c>
      <c r="G808" t="s">
        <v>1063</v>
      </c>
      <c r="H808" t="s">
        <v>1064</v>
      </c>
      <c r="I808" t="s">
        <v>1067</v>
      </c>
      <c r="J808" t="s">
        <v>60</v>
      </c>
      <c r="K808" t="s">
        <v>1068</v>
      </c>
      <c r="L808" t="s">
        <v>63</v>
      </c>
      <c r="AG808" t="s">
        <v>373</v>
      </c>
      <c r="AH808" t="s">
        <v>374</v>
      </c>
      <c r="AI808" t="s">
        <v>353</v>
      </c>
      <c r="AJ808" t="s">
        <v>1068</v>
      </c>
      <c r="AK808" s="1">
        <v>0</v>
      </c>
      <c r="AL808" s="1">
        <v>0</v>
      </c>
      <c r="AM808" s="1">
        <v>0</v>
      </c>
      <c r="AN808" s="1">
        <v>0</v>
      </c>
      <c r="AO808" s="1">
        <v>0</v>
      </c>
      <c r="AP808" s="1">
        <v>0</v>
      </c>
      <c r="AQ808" s="1">
        <v>27725.83</v>
      </c>
      <c r="AR808" s="1">
        <v>0</v>
      </c>
      <c r="AS808" s="1">
        <v>27725.83</v>
      </c>
      <c r="AT808" s="1">
        <v>0</v>
      </c>
      <c r="BA808" s="195"/>
      <c r="BB808" s="195"/>
      <c r="BC808" s="195"/>
      <c r="BD808" s="195"/>
      <c r="BE808" s="195"/>
      <c r="BF808" s="195"/>
      <c r="BG808" s="195"/>
      <c r="BH808" s="195"/>
      <c r="BI808" s="195"/>
    </row>
    <row r="809" spans="1:61" x14ac:dyDescent="0.25">
      <c r="A809" t="s">
        <v>343</v>
      </c>
      <c r="B809" t="s">
        <v>344</v>
      </c>
      <c r="C809" t="s">
        <v>1056</v>
      </c>
      <c r="D809" t="s">
        <v>1057</v>
      </c>
      <c r="E809" t="s">
        <v>1058</v>
      </c>
      <c r="F809" t="s">
        <v>1059</v>
      </c>
      <c r="G809" t="s">
        <v>1063</v>
      </c>
      <c r="H809" t="s">
        <v>1064</v>
      </c>
      <c r="I809" t="s">
        <v>1067</v>
      </c>
      <c r="J809" t="s">
        <v>60</v>
      </c>
      <c r="K809" t="s">
        <v>1068</v>
      </c>
      <c r="L809" t="s">
        <v>63</v>
      </c>
      <c r="AG809" t="s">
        <v>375</v>
      </c>
      <c r="AH809" t="s">
        <v>376</v>
      </c>
      <c r="AI809" t="s">
        <v>353</v>
      </c>
      <c r="AJ809" t="s">
        <v>1068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v>0</v>
      </c>
      <c r="AQ809" s="1">
        <v>11531.45</v>
      </c>
      <c r="AR809" s="1">
        <v>0</v>
      </c>
      <c r="AS809" s="1">
        <v>11531.45</v>
      </c>
      <c r="AT809" s="1">
        <v>0</v>
      </c>
      <c r="BA809" s="195"/>
      <c r="BB809" s="195"/>
      <c r="BC809" s="195"/>
      <c r="BD809" s="195"/>
      <c r="BE809" s="195"/>
      <c r="BF809" s="195"/>
      <c r="BG809" s="195"/>
      <c r="BH809" s="195"/>
      <c r="BI809" s="195"/>
    </row>
    <row r="810" spans="1:61" x14ac:dyDescent="0.25">
      <c r="A810" t="s">
        <v>343</v>
      </c>
      <c r="B810" t="s">
        <v>344</v>
      </c>
      <c r="C810" t="s">
        <v>1056</v>
      </c>
      <c r="D810" t="s">
        <v>1057</v>
      </c>
      <c r="E810" t="s">
        <v>1058</v>
      </c>
      <c r="F810" t="s">
        <v>1059</v>
      </c>
      <c r="G810" t="s">
        <v>1063</v>
      </c>
      <c r="H810" t="s">
        <v>1064</v>
      </c>
      <c r="I810" t="s">
        <v>1067</v>
      </c>
      <c r="J810" t="s">
        <v>60</v>
      </c>
      <c r="K810" t="s">
        <v>1068</v>
      </c>
      <c r="L810" t="s">
        <v>63</v>
      </c>
      <c r="AG810" t="s">
        <v>377</v>
      </c>
      <c r="AH810" t="s">
        <v>378</v>
      </c>
      <c r="AI810" t="s">
        <v>353</v>
      </c>
      <c r="AJ810" t="s">
        <v>1068</v>
      </c>
      <c r="AK810" s="1">
        <v>-90538</v>
      </c>
      <c r="AL810" s="1">
        <v>0</v>
      </c>
      <c r="AM810" s="1">
        <v>-90538</v>
      </c>
      <c r="AN810" s="1">
        <v>-21551.56</v>
      </c>
      <c r="AO810" s="1">
        <v>0</v>
      </c>
      <c r="AP810" s="1">
        <v>-21551.56</v>
      </c>
      <c r="AQ810" s="1">
        <v>386400.19</v>
      </c>
      <c r="AR810" s="1">
        <v>0</v>
      </c>
      <c r="AS810" s="1">
        <v>386400.19</v>
      </c>
      <c r="AT810" s="1">
        <v>0</v>
      </c>
      <c r="BA810" s="195"/>
      <c r="BB810" s="195"/>
      <c r="BC810" s="195"/>
      <c r="BD810" s="195"/>
      <c r="BE810" s="195"/>
      <c r="BF810" s="195"/>
      <c r="BG810" s="195"/>
      <c r="BH810" s="195"/>
      <c r="BI810" s="195"/>
    </row>
    <row r="811" spans="1:61" x14ac:dyDescent="0.25">
      <c r="A811" t="s">
        <v>343</v>
      </c>
      <c r="B811" t="s">
        <v>344</v>
      </c>
      <c r="C811" t="s">
        <v>1056</v>
      </c>
      <c r="D811" t="s">
        <v>1057</v>
      </c>
      <c r="E811" t="s">
        <v>1058</v>
      </c>
      <c r="F811" t="s">
        <v>1059</v>
      </c>
      <c r="G811" t="s">
        <v>1063</v>
      </c>
      <c r="H811" t="s">
        <v>1064</v>
      </c>
      <c r="I811" t="s">
        <v>1067</v>
      </c>
      <c r="J811" t="s">
        <v>60</v>
      </c>
      <c r="K811" t="s">
        <v>1068</v>
      </c>
      <c r="L811" t="s">
        <v>63</v>
      </c>
      <c r="AG811" t="s">
        <v>379</v>
      </c>
      <c r="AH811" t="s">
        <v>380</v>
      </c>
      <c r="AI811" t="s">
        <v>353</v>
      </c>
      <c r="AJ811" t="s">
        <v>1068</v>
      </c>
      <c r="AK811" s="1">
        <v>17480</v>
      </c>
      <c r="AL811" s="1">
        <v>0</v>
      </c>
      <c r="AM811" s="1">
        <v>17480</v>
      </c>
      <c r="AN811" s="1">
        <v>1298</v>
      </c>
      <c r="AO811" s="1">
        <v>0</v>
      </c>
      <c r="AP811" s="1">
        <v>1298</v>
      </c>
      <c r="AQ811" s="1">
        <v>89876.78</v>
      </c>
      <c r="AR811" s="1">
        <v>0</v>
      </c>
      <c r="AS811" s="1">
        <v>89876.78</v>
      </c>
      <c r="AT811" s="1">
        <v>0</v>
      </c>
      <c r="BA811" s="195"/>
      <c r="BB811" s="195"/>
      <c r="BC811" s="195"/>
      <c r="BD811" s="195"/>
      <c r="BE811" s="195"/>
      <c r="BF811" s="195"/>
      <c r="BG811" s="195"/>
      <c r="BH811" s="195"/>
      <c r="BI811" s="195"/>
    </row>
    <row r="812" spans="1:61" x14ac:dyDescent="0.25">
      <c r="A812" t="s">
        <v>343</v>
      </c>
      <c r="B812" t="s">
        <v>344</v>
      </c>
      <c r="C812" t="s">
        <v>1056</v>
      </c>
      <c r="D812" t="s">
        <v>1057</v>
      </c>
      <c r="E812" t="s">
        <v>1058</v>
      </c>
      <c r="F812" t="s">
        <v>1059</v>
      </c>
      <c r="G812" t="s">
        <v>1063</v>
      </c>
      <c r="H812" t="s">
        <v>1064</v>
      </c>
      <c r="I812" t="s">
        <v>1069</v>
      </c>
      <c r="J812" t="s">
        <v>66</v>
      </c>
      <c r="K812" t="s">
        <v>1070</v>
      </c>
      <c r="L812" t="s">
        <v>391</v>
      </c>
      <c r="AG812" t="s">
        <v>392</v>
      </c>
      <c r="AH812" t="s">
        <v>393</v>
      </c>
      <c r="AI812" t="s">
        <v>353</v>
      </c>
      <c r="AJ812" t="s">
        <v>1070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0</v>
      </c>
      <c r="AQ812" s="1">
        <v>26068.78</v>
      </c>
      <c r="AR812" s="1">
        <v>0</v>
      </c>
      <c r="AS812" s="1">
        <v>26068.78</v>
      </c>
      <c r="AT812" s="1">
        <v>0</v>
      </c>
      <c r="BA812" s="195"/>
      <c r="BB812" s="195"/>
      <c r="BC812" s="195"/>
      <c r="BD812" s="195"/>
      <c r="BE812" s="195"/>
      <c r="BF812" s="195"/>
      <c r="BG812" s="195"/>
      <c r="BH812" s="195"/>
      <c r="BI812" s="195"/>
    </row>
    <row r="813" spans="1:61" x14ac:dyDescent="0.25">
      <c r="A813" t="s">
        <v>343</v>
      </c>
      <c r="B813" t="s">
        <v>344</v>
      </c>
      <c r="C813" t="s">
        <v>1056</v>
      </c>
      <c r="D813" t="s">
        <v>1057</v>
      </c>
      <c r="E813" t="s">
        <v>1058</v>
      </c>
      <c r="F813" t="s">
        <v>1059</v>
      </c>
      <c r="G813" t="s">
        <v>1063</v>
      </c>
      <c r="H813" t="s">
        <v>1064</v>
      </c>
      <c r="I813" t="s">
        <v>1069</v>
      </c>
      <c r="J813" t="s">
        <v>66</v>
      </c>
      <c r="K813" t="s">
        <v>1070</v>
      </c>
      <c r="L813" t="s">
        <v>391</v>
      </c>
      <c r="AG813" t="s">
        <v>394</v>
      </c>
      <c r="AH813" t="s">
        <v>395</v>
      </c>
      <c r="AI813" t="s">
        <v>353</v>
      </c>
      <c r="AJ813" t="s">
        <v>1070</v>
      </c>
      <c r="AK813" s="1">
        <v>0</v>
      </c>
      <c r="AL813" s="1">
        <v>0</v>
      </c>
      <c r="AM813" s="1">
        <v>0</v>
      </c>
      <c r="AN813" s="1">
        <v>0</v>
      </c>
      <c r="AO813" s="1">
        <v>0</v>
      </c>
      <c r="AP813" s="1">
        <v>0</v>
      </c>
      <c r="AQ813" s="1">
        <v>17684.09</v>
      </c>
      <c r="AR813" s="1">
        <v>0</v>
      </c>
      <c r="AS813" s="1">
        <v>17684.09</v>
      </c>
      <c r="AT813" s="1">
        <v>0</v>
      </c>
      <c r="BA813" s="195"/>
      <c r="BB813" s="195"/>
      <c r="BC813" s="195"/>
      <c r="BD813" s="195"/>
      <c r="BE813" s="195"/>
      <c r="BF813" s="195"/>
      <c r="BG813" s="195"/>
      <c r="BH813" s="195"/>
      <c r="BI813" s="195"/>
    </row>
    <row r="814" spans="1:61" x14ac:dyDescent="0.25">
      <c r="A814" t="s">
        <v>343</v>
      </c>
      <c r="B814" t="s">
        <v>344</v>
      </c>
      <c r="C814" t="s">
        <v>1056</v>
      </c>
      <c r="D814" t="s">
        <v>1057</v>
      </c>
      <c r="E814" t="s">
        <v>1058</v>
      </c>
      <c r="F814" t="s">
        <v>1059</v>
      </c>
      <c r="G814" t="s">
        <v>1063</v>
      </c>
      <c r="H814" t="s">
        <v>1064</v>
      </c>
      <c r="I814" t="s">
        <v>1069</v>
      </c>
      <c r="J814" t="s">
        <v>66</v>
      </c>
      <c r="K814" t="s">
        <v>1070</v>
      </c>
      <c r="L814" t="s">
        <v>391</v>
      </c>
      <c r="AG814" t="s">
        <v>396</v>
      </c>
      <c r="AH814" t="s">
        <v>397</v>
      </c>
      <c r="AI814" t="s">
        <v>353</v>
      </c>
      <c r="AJ814" t="s">
        <v>1070</v>
      </c>
      <c r="AK814" s="1">
        <v>0</v>
      </c>
      <c r="AL814" s="1">
        <v>0</v>
      </c>
      <c r="AM814" s="1">
        <v>0</v>
      </c>
      <c r="AN814" s="1">
        <v>0</v>
      </c>
      <c r="AO814" s="1">
        <v>0</v>
      </c>
      <c r="AP814" s="1">
        <v>0</v>
      </c>
      <c r="AQ814" s="1">
        <v>457.35</v>
      </c>
      <c r="AR814" s="1">
        <v>0</v>
      </c>
      <c r="AS814" s="1">
        <v>457.35</v>
      </c>
      <c r="AT814" s="1">
        <v>0</v>
      </c>
      <c r="BA814" s="195"/>
      <c r="BB814" s="195"/>
      <c r="BC814" s="195"/>
      <c r="BD814" s="195"/>
      <c r="BE814" s="195"/>
      <c r="BF814" s="195"/>
      <c r="BG814" s="195"/>
      <c r="BH814" s="195"/>
      <c r="BI814" s="195"/>
    </row>
    <row r="815" spans="1:61" x14ac:dyDescent="0.25">
      <c r="A815" t="s">
        <v>343</v>
      </c>
      <c r="B815" t="s">
        <v>344</v>
      </c>
      <c r="C815" t="s">
        <v>1056</v>
      </c>
      <c r="D815" t="s">
        <v>1057</v>
      </c>
      <c r="E815" t="s">
        <v>1058</v>
      </c>
      <c r="F815" t="s">
        <v>1059</v>
      </c>
      <c r="G815" t="s">
        <v>1063</v>
      </c>
      <c r="H815" t="s">
        <v>1064</v>
      </c>
      <c r="I815" t="s">
        <v>1069</v>
      </c>
      <c r="J815" t="s">
        <v>66</v>
      </c>
      <c r="K815" t="s">
        <v>1070</v>
      </c>
      <c r="L815" t="s">
        <v>391</v>
      </c>
      <c r="AG815" t="s">
        <v>398</v>
      </c>
      <c r="AH815" t="s">
        <v>399</v>
      </c>
      <c r="AI815" t="s">
        <v>353</v>
      </c>
      <c r="AJ815" t="s">
        <v>1070</v>
      </c>
      <c r="AK815" s="1">
        <v>-11718.78</v>
      </c>
      <c r="AL815" s="1">
        <v>0</v>
      </c>
      <c r="AM815" s="1">
        <v>-11718.78</v>
      </c>
      <c r="AN815" s="1">
        <v>-5292</v>
      </c>
      <c r="AO815" s="1">
        <v>0</v>
      </c>
      <c r="AP815" s="1">
        <v>-5292</v>
      </c>
      <c r="AQ815" s="1">
        <v>5292</v>
      </c>
      <c r="AR815" s="1">
        <v>0</v>
      </c>
      <c r="AS815" s="1">
        <v>5292</v>
      </c>
      <c r="AT815" s="1">
        <v>0</v>
      </c>
      <c r="BA815" s="195"/>
      <c r="BB815" s="195"/>
      <c r="BC815" s="195"/>
      <c r="BD815" s="195"/>
      <c r="BE815" s="195"/>
      <c r="BF815" s="195"/>
      <c r="BG815" s="195"/>
      <c r="BH815" s="195"/>
      <c r="BI815" s="195"/>
    </row>
    <row r="816" spans="1:61" x14ac:dyDescent="0.25">
      <c r="A816" t="s">
        <v>343</v>
      </c>
      <c r="B816" t="s">
        <v>344</v>
      </c>
      <c r="C816" t="s">
        <v>1056</v>
      </c>
      <c r="D816" t="s">
        <v>1057</v>
      </c>
      <c r="E816" t="s">
        <v>1058</v>
      </c>
      <c r="F816" t="s">
        <v>1059</v>
      </c>
      <c r="G816" t="s">
        <v>1063</v>
      </c>
      <c r="H816" t="s">
        <v>1064</v>
      </c>
      <c r="I816" t="s">
        <v>1069</v>
      </c>
      <c r="J816" t="s">
        <v>66</v>
      </c>
      <c r="K816" t="s">
        <v>1070</v>
      </c>
      <c r="L816" t="s">
        <v>391</v>
      </c>
      <c r="AG816" t="s">
        <v>400</v>
      </c>
      <c r="AH816" t="s">
        <v>401</v>
      </c>
      <c r="AI816" t="s">
        <v>353</v>
      </c>
      <c r="AJ816" t="s">
        <v>1070</v>
      </c>
      <c r="AK816" s="1">
        <v>104.52</v>
      </c>
      <c r="AL816" s="1">
        <v>0</v>
      </c>
      <c r="AM816" s="1">
        <v>104.52</v>
      </c>
      <c r="AN816" s="1">
        <v>4718</v>
      </c>
      <c r="AO816" s="1">
        <v>0</v>
      </c>
      <c r="AP816" s="1">
        <v>4718</v>
      </c>
      <c r="AQ816" s="1">
        <v>9200.01</v>
      </c>
      <c r="AR816" s="1">
        <v>0</v>
      </c>
      <c r="AS816" s="1">
        <v>9200.01</v>
      </c>
      <c r="AT816" s="1">
        <v>0</v>
      </c>
      <c r="BA816" s="195"/>
      <c r="BB816" s="195"/>
      <c r="BC816" s="195"/>
      <c r="BD816" s="195"/>
      <c r="BE816" s="195"/>
      <c r="BF816" s="195"/>
      <c r="BG816" s="195"/>
      <c r="BH816" s="195"/>
      <c r="BI816" s="195"/>
    </row>
    <row r="817" spans="1:61" x14ac:dyDescent="0.25">
      <c r="A817" t="s">
        <v>343</v>
      </c>
      <c r="B817" t="s">
        <v>344</v>
      </c>
      <c r="C817" t="s">
        <v>1056</v>
      </c>
      <c r="D817" t="s">
        <v>1057</v>
      </c>
      <c r="E817" t="s">
        <v>1058</v>
      </c>
      <c r="F817" t="s">
        <v>1059</v>
      </c>
      <c r="G817" t="s">
        <v>1063</v>
      </c>
      <c r="H817" t="s">
        <v>1064</v>
      </c>
      <c r="I817" t="s">
        <v>1069</v>
      </c>
      <c r="J817" t="s">
        <v>66</v>
      </c>
      <c r="K817" t="s">
        <v>1070</v>
      </c>
      <c r="L817" t="s">
        <v>391</v>
      </c>
      <c r="AG817" t="s">
        <v>402</v>
      </c>
      <c r="AH817" t="s">
        <v>403</v>
      </c>
      <c r="AI817" t="s">
        <v>353</v>
      </c>
      <c r="AJ817" t="s">
        <v>1070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v>0</v>
      </c>
      <c r="AQ817" s="1">
        <v>30</v>
      </c>
      <c r="AR817" s="1">
        <v>0</v>
      </c>
      <c r="AS817" s="1">
        <v>30</v>
      </c>
      <c r="AT817" s="1">
        <v>0</v>
      </c>
      <c r="BA817" s="195"/>
      <c r="BB817" s="195"/>
      <c r="BC817" s="195"/>
      <c r="BD817" s="195"/>
      <c r="BE817" s="195"/>
      <c r="BF817" s="195"/>
      <c r="BG817" s="195"/>
      <c r="BH817" s="195"/>
      <c r="BI817" s="195"/>
    </row>
    <row r="818" spans="1:61" x14ac:dyDescent="0.25">
      <c r="A818" t="s">
        <v>343</v>
      </c>
      <c r="B818" t="s">
        <v>344</v>
      </c>
      <c r="C818" t="s">
        <v>1056</v>
      </c>
      <c r="D818" t="s">
        <v>1057</v>
      </c>
      <c r="E818" t="s">
        <v>1058</v>
      </c>
      <c r="F818" t="s">
        <v>1059</v>
      </c>
      <c r="G818" t="s">
        <v>1071</v>
      </c>
      <c r="H818" t="s">
        <v>1072</v>
      </c>
      <c r="I818" t="s">
        <v>1073</v>
      </c>
      <c r="J818" t="s">
        <v>1074</v>
      </c>
      <c r="AG818" t="s">
        <v>807</v>
      </c>
      <c r="AH818" t="s">
        <v>808</v>
      </c>
      <c r="AI818" t="s">
        <v>353</v>
      </c>
      <c r="AJ818" t="s">
        <v>1073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0.84</v>
      </c>
      <c r="AR818" s="1">
        <v>0</v>
      </c>
      <c r="AS818" s="1">
        <v>0.84</v>
      </c>
      <c r="AT818" s="1">
        <v>0</v>
      </c>
      <c r="BA818" s="195"/>
      <c r="BB818" s="195"/>
      <c r="BC818" s="195"/>
      <c r="BD818" s="195"/>
      <c r="BE818" s="195"/>
      <c r="BF818" s="195"/>
      <c r="BG818" s="195"/>
      <c r="BH818" s="195"/>
      <c r="BI818" s="195"/>
    </row>
    <row r="819" spans="1:61" x14ac:dyDescent="0.25">
      <c r="A819" t="s">
        <v>343</v>
      </c>
      <c r="B819" t="s">
        <v>344</v>
      </c>
      <c r="C819" t="s">
        <v>1056</v>
      </c>
      <c r="D819" t="s">
        <v>1057</v>
      </c>
      <c r="E819" t="s">
        <v>1058</v>
      </c>
      <c r="F819" t="s">
        <v>1059</v>
      </c>
      <c r="G819" t="s">
        <v>1075</v>
      </c>
      <c r="H819" t="s">
        <v>1076</v>
      </c>
      <c r="AG819" t="s">
        <v>837</v>
      </c>
      <c r="AH819" t="s">
        <v>838</v>
      </c>
      <c r="AI819" t="s">
        <v>353</v>
      </c>
      <c r="AJ819" t="s">
        <v>1075</v>
      </c>
      <c r="AK819" s="1">
        <v>6000</v>
      </c>
      <c r="AL819" s="1">
        <v>0</v>
      </c>
      <c r="AM819" s="1">
        <v>6000</v>
      </c>
      <c r="AN819" s="1">
        <v>20856.34</v>
      </c>
      <c r="AO819" s="1">
        <v>0</v>
      </c>
      <c r="AP819" s="1">
        <v>20856.34</v>
      </c>
      <c r="AQ819" s="1">
        <v>55949.5</v>
      </c>
      <c r="AR819" s="1">
        <v>0</v>
      </c>
      <c r="AS819" s="1">
        <v>55949.5</v>
      </c>
      <c r="AT819" s="1">
        <v>0</v>
      </c>
      <c r="BA819" s="195"/>
      <c r="BB819" s="195"/>
      <c r="BC819" s="195"/>
      <c r="BD819" s="195"/>
      <c r="BE819" s="195"/>
      <c r="BF819" s="195"/>
      <c r="BG819" s="195"/>
      <c r="BH819" s="195"/>
      <c r="BI819" s="195"/>
    </row>
    <row r="820" spans="1:61" x14ac:dyDescent="0.25">
      <c r="A820" t="s">
        <v>343</v>
      </c>
      <c r="B820" t="s">
        <v>344</v>
      </c>
      <c r="C820" t="s">
        <v>1056</v>
      </c>
      <c r="D820" t="s">
        <v>1057</v>
      </c>
      <c r="E820" t="s">
        <v>1077</v>
      </c>
      <c r="F820" t="s">
        <v>1078</v>
      </c>
      <c r="G820" t="s">
        <v>1079</v>
      </c>
      <c r="H820" t="s">
        <v>1080</v>
      </c>
      <c r="I820" t="s">
        <v>1081</v>
      </c>
      <c r="J820" t="s">
        <v>82</v>
      </c>
      <c r="AG820" t="s">
        <v>424</v>
      </c>
      <c r="AH820" t="s">
        <v>425</v>
      </c>
      <c r="AI820" t="s">
        <v>353</v>
      </c>
      <c r="AJ820" t="s">
        <v>1081</v>
      </c>
      <c r="AK820" s="1">
        <v>900</v>
      </c>
      <c r="AL820" s="1">
        <v>0</v>
      </c>
      <c r="AM820" s="1">
        <v>900</v>
      </c>
      <c r="AN820" s="1">
        <v>0</v>
      </c>
      <c r="AO820" s="1">
        <v>0</v>
      </c>
      <c r="AP820" s="1">
        <v>0</v>
      </c>
      <c r="AQ820" s="1">
        <v>0</v>
      </c>
      <c r="AR820" s="1">
        <v>0</v>
      </c>
      <c r="AS820" s="1">
        <v>0</v>
      </c>
      <c r="AT820" s="1">
        <v>0</v>
      </c>
      <c r="BA820" s="195"/>
      <c r="BB820" s="195"/>
      <c r="BC820" s="195"/>
      <c r="BD820" s="195"/>
      <c r="BE820" s="195"/>
      <c r="BF820" s="195"/>
      <c r="BG820" s="195"/>
      <c r="BH820" s="195"/>
      <c r="BI820" s="195"/>
    </row>
    <row r="821" spans="1:61" x14ac:dyDescent="0.25">
      <c r="A821" t="s">
        <v>343</v>
      </c>
      <c r="B821" t="s">
        <v>344</v>
      </c>
      <c r="C821" t="s">
        <v>1056</v>
      </c>
      <c r="D821" t="s">
        <v>1057</v>
      </c>
      <c r="E821" t="s">
        <v>1077</v>
      </c>
      <c r="F821" t="s">
        <v>1078</v>
      </c>
      <c r="G821" t="s">
        <v>1079</v>
      </c>
      <c r="H821" t="s">
        <v>1080</v>
      </c>
      <c r="I821" t="s">
        <v>1081</v>
      </c>
      <c r="J821" t="s">
        <v>82</v>
      </c>
      <c r="AG821" t="s">
        <v>900</v>
      </c>
      <c r="AH821" t="s">
        <v>901</v>
      </c>
      <c r="AI821" t="s">
        <v>353</v>
      </c>
      <c r="AJ821" t="s">
        <v>1081</v>
      </c>
      <c r="AK821" s="1">
        <v>-59497.8</v>
      </c>
      <c r="AL821" s="1">
        <v>0</v>
      </c>
      <c r="AM821" s="1">
        <v>-59497.8</v>
      </c>
      <c r="AN821" s="1">
        <v>7238.1</v>
      </c>
      <c r="AO821" s="1">
        <v>0</v>
      </c>
      <c r="AP821" s="1">
        <v>7238.1</v>
      </c>
      <c r="AQ821" s="1">
        <v>36176.46</v>
      </c>
      <c r="AR821" s="1">
        <v>0</v>
      </c>
      <c r="AS821" s="1">
        <v>36176.46</v>
      </c>
      <c r="AT821" s="1">
        <v>0</v>
      </c>
      <c r="BA821" s="195"/>
      <c r="BB821" s="195"/>
      <c r="BC821" s="195"/>
      <c r="BD821" s="195"/>
      <c r="BE821" s="195"/>
      <c r="BF821" s="195"/>
      <c r="BG821" s="195"/>
      <c r="BH821" s="195"/>
      <c r="BI821" s="195"/>
    </row>
    <row r="822" spans="1:61" x14ac:dyDescent="0.25">
      <c r="A822" t="s">
        <v>343</v>
      </c>
      <c r="B822" t="s">
        <v>344</v>
      </c>
      <c r="C822" t="s">
        <v>1056</v>
      </c>
      <c r="D822" t="s">
        <v>1057</v>
      </c>
      <c r="E822" t="s">
        <v>1077</v>
      </c>
      <c r="F822" t="s">
        <v>1078</v>
      </c>
      <c r="G822" t="s">
        <v>1079</v>
      </c>
      <c r="H822" t="s">
        <v>1080</v>
      </c>
      <c r="I822" t="s">
        <v>1081</v>
      </c>
      <c r="J822" t="s">
        <v>82</v>
      </c>
      <c r="AG822" t="s">
        <v>454</v>
      </c>
      <c r="AH822" t="s">
        <v>455</v>
      </c>
      <c r="AI822" t="s">
        <v>353</v>
      </c>
      <c r="AJ822" t="s">
        <v>1081</v>
      </c>
      <c r="AK822" s="1">
        <v>83845.22</v>
      </c>
      <c r="AL822" s="1">
        <v>0</v>
      </c>
      <c r="AM822" s="1">
        <v>83845.22</v>
      </c>
      <c r="AN822" s="1">
        <v>9549.93</v>
      </c>
      <c r="AO822" s="1">
        <v>0</v>
      </c>
      <c r="AP822" s="1">
        <v>9549.93</v>
      </c>
      <c r="AQ822" s="1">
        <v>-22822.75</v>
      </c>
      <c r="AR822" s="1">
        <v>0</v>
      </c>
      <c r="AS822" s="1">
        <v>-22822.75</v>
      </c>
      <c r="AT822" s="1">
        <v>0</v>
      </c>
      <c r="BA822" s="195"/>
      <c r="BB822" s="195"/>
      <c r="BC822" s="195"/>
      <c r="BD822" s="195"/>
      <c r="BE822" s="195"/>
      <c r="BF822" s="195"/>
      <c r="BG822" s="195"/>
      <c r="BH822" s="195"/>
      <c r="BI822" s="195"/>
    </row>
    <row r="823" spans="1:61" x14ac:dyDescent="0.25">
      <c r="A823" t="s">
        <v>343</v>
      </c>
      <c r="B823" t="s">
        <v>344</v>
      </c>
      <c r="C823" t="s">
        <v>1056</v>
      </c>
      <c r="D823" t="s">
        <v>1057</v>
      </c>
      <c r="E823" t="s">
        <v>1077</v>
      </c>
      <c r="F823" t="s">
        <v>1078</v>
      </c>
      <c r="G823" t="s">
        <v>1079</v>
      </c>
      <c r="H823" t="s">
        <v>1080</v>
      </c>
      <c r="I823" t="s">
        <v>1082</v>
      </c>
      <c r="J823" t="s">
        <v>1083</v>
      </c>
      <c r="AG823" t="s">
        <v>837</v>
      </c>
      <c r="AH823" t="s">
        <v>838</v>
      </c>
      <c r="AI823" t="s">
        <v>353</v>
      </c>
      <c r="AJ823" t="s">
        <v>1082</v>
      </c>
      <c r="AK823" s="1">
        <v>159611.68</v>
      </c>
      <c r="AL823" s="1">
        <v>0</v>
      </c>
      <c r="AM823" s="1">
        <v>159611.68</v>
      </c>
      <c r="AN823" s="1">
        <v>76805.84</v>
      </c>
      <c r="AO823" s="1">
        <v>0</v>
      </c>
      <c r="AP823" s="1">
        <v>76805.84</v>
      </c>
      <c r="AQ823" s="1">
        <v>55949.5</v>
      </c>
      <c r="AR823" s="1">
        <v>0</v>
      </c>
      <c r="AS823" s="1">
        <v>55949.5</v>
      </c>
      <c r="AT823" s="1">
        <v>0</v>
      </c>
      <c r="BA823" s="195"/>
      <c r="BB823" s="195"/>
      <c r="BC823" s="195"/>
      <c r="BD823" s="195"/>
      <c r="BE823" s="195"/>
      <c r="BF823" s="195"/>
      <c r="BG823" s="195"/>
      <c r="BH823" s="195"/>
      <c r="BI823" s="195"/>
    </row>
    <row r="824" spans="1:61" x14ac:dyDescent="0.25">
      <c r="A824" t="s">
        <v>343</v>
      </c>
      <c r="B824" t="s">
        <v>344</v>
      </c>
      <c r="C824" t="s">
        <v>1056</v>
      </c>
      <c r="D824" t="s">
        <v>1057</v>
      </c>
      <c r="E824" t="s">
        <v>1077</v>
      </c>
      <c r="F824" t="s">
        <v>1078</v>
      </c>
      <c r="G824" t="s">
        <v>1084</v>
      </c>
      <c r="H824" t="s">
        <v>1085</v>
      </c>
      <c r="I824" t="s">
        <v>1086</v>
      </c>
      <c r="J824" t="s">
        <v>1087</v>
      </c>
      <c r="AG824" t="s">
        <v>452</v>
      </c>
      <c r="AH824" t="s">
        <v>453</v>
      </c>
      <c r="AI824" t="s">
        <v>353</v>
      </c>
      <c r="AJ824" t="s">
        <v>1086</v>
      </c>
      <c r="AK824" s="1">
        <v>-1.68</v>
      </c>
      <c r="AL824" s="1">
        <v>0</v>
      </c>
      <c r="AM824" s="1">
        <v>-1.68</v>
      </c>
      <c r="AN824" s="1">
        <v>0</v>
      </c>
      <c r="AO824" s="1">
        <v>0</v>
      </c>
      <c r="AP824" s="1">
        <v>0</v>
      </c>
      <c r="AQ824" s="1">
        <v>0.84</v>
      </c>
      <c r="AR824" s="1">
        <v>0</v>
      </c>
      <c r="AS824" s="1">
        <v>0.84</v>
      </c>
      <c r="AT824" s="1">
        <v>0</v>
      </c>
      <c r="BA824" s="195"/>
      <c r="BB824" s="195"/>
      <c r="BC824" s="195"/>
      <c r="BD824" s="195"/>
      <c r="BE824" s="195"/>
      <c r="BF824" s="195"/>
      <c r="BG824" s="195"/>
      <c r="BH824" s="195"/>
      <c r="BI824" s="195"/>
    </row>
    <row r="825" spans="1:61" x14ac:dyDescent="0.25">
      <c r="A825" t="s">
        <v>343</v>
      </c>
      <c r="B825" t="s">
        <v>344</v>
      </c>
      <c r="C825" t="s">
        <v>1056</v>
      </c>
      <c r="D825" t="s">
        <v>1057</v>
      </c>
      <c r="E825" t="s">
        <v>1077</v>
      </c>
      <c r="F825" t="s">
        <v>1078</v>
      </c>
      <c r="G825" t="s">
        <v>1084</v>
      </c>
      <c r="H825" t="s">
        <v>1085</v>
      </c>
      <c r="I825" t="s">
        <v>1086</v>
      </c>
      <c r="J825" t="s">
        <v>1087</v>
      </c>
      <c r="AG825" t="s">
        <v>454</v>
      </c>
      <c r="AH825" t="s">
        <v>455</v>
      </c>
      <c r="AI825" t="s">
        <v>353</v>
      </c>
      <c r="AJ825" t="s">
        <v>1086</v>
      </c>
      <c r="AK825" s="1">
        <v>-83845.22</v>
      </c>
      <c r="AL825" s="1">
        <v>0</v>
      </c>
      <c r="AM825" s="1">
        <v>-83845.22</v>
      </c>
      <c r="AN825" s="1">
        <v>-9549.93</v>
      </c>
      <c r="AO825" s="1">
        <v>0</v>
      </c>
      <c r="AP825" s="1">
        <v>-9549.93</v>
      </c>
      <c r="AQ825" s="1">
        <v>22822.75</v>
      </c>
      <c r="AR825" s="1">
        <v>0</v>
      </c>
      <c r="AS825" s="1">
        <v>22822.75</v>
      </c>
      <c r="AT825" s="1">
        <v>0</v>
      </c>
      <c r="BA825" s="195"/>
      <c r="BB825" s="195"/>
      <c r="BC825" s="195"/>
      <c r="BD825" s="195"/>
      <c r="BE825" s="195"/>
      <c r="BF825" s="195"/>
      <c r="BG825" s="195"/>
      <c r="BH825" s="195"/>
      <c r="BI825" s="195"/>
    </row>
    <row r="826" spans="1:61" x14ac:dyDescent="0.25">
      <c r="A826" t="s">
        <v>343</v>
      </c>
      <c r="B826" t="s">
        <v>344</v>
      </c>
      <c r="C826" t="s">
        <v>1056</v>
      </c>
      <c r="D826" t="s">
        <v>1057</v>
      </c>
      <c r="E826" t="s">
        <v>1077</v>
      </c>
      <c r="F826" t="s">
        <v>1078</v>
      </c>
      <c r="G826" t="s">
        <v>1084</v>
      </c>
      <c r="H826" t="s">
        <v>1085</v>
      </c>
      <c r="I826" t="s">
        <v>1088</v>
      </c>
      <c r="J826" t="s">
        <v>126</v>
      </c>
      <c r="AG826" t="s">
        <v>461</v>
      </c>
      <c r="AH826" t="s">
        <v>462</v>
      </c>
      <c r="AI826" t="s">
        <v>353</v>
      </c>
      <c r="AJ826" t="s">
        <v>1088</v>
      </c>
      <c r="AK826" s="1">
        <v>6812341.5199999996</v>
      </c>
      <c r="AL826" s="1">
        <v>0</v>
      </c>
      <c r="AM826" s="1">
        <v>6812341.5199999996</v>
      </c>
      <c r="AN826" s="1">
        <v>2702689.23</v>
      </c>
      <c r="AO826" s="1">
        <v>0</v>
      </c>
      <c r="AP826" s="1">
        <v>2702689.23</v>
      </c>
      <c r="AQ826" s="1">
        <v>1999207.7</v>
      </c>
      <c r="AR826" s="1">
        <v>0</v>
      </c>
      <c r="AS826" s="1">
        <v>1999207.7</v>
      </c>
      <c r="AT826" s="1">
        <v>0</v>
      </c>
      <c r="BA826" s="195"/>
      <c r="BB826" s="195"/>
      <c r="BC826" s="195"/>
      <c r="BD826" s="195"/>
      <c r="BE826" s="195"/>
      <c r="BF826" s="195"/>
      <c r="BG826" s="195"/>
      <c r="BH826" s="195"/>
      <c r="BI826" s="195"/>
    </row>
    <row r="827" spans="1:61" x14ac:dyDescent="0.25">
      <c r="A827" t="s">
        <v>343</v>
      </c>
      <c r="B827" t="s">
        <v>344</v>
      </c>
      <c r="C827" t="s">
        <v>1056</v>
      </c>
      <c r="D827" t="s">
        <v>1057</v>
      </c>
      <c r="E827" t="s">
        <v>1077</v>
      </c>
      <c r="F827" t="s">
        <v>1078</v>
      </c>
      <c r="G827" t="s">
        <v>1089</v>
      </c>
      <c r="H827" t="s">
        <v>1090</v>
      </c>
      <c r="I827" t="s">
        <v>1091</v>
      </c>
      <c r="J827" t="s">
        <v>417</v>
      </c>
      <c r="AG827" t="s">
        <v>418</v>
      </c>
      <c r="AH827" t="s">
        <v>419</v>
      </c>
      <c r="AI827" t="s">
        <v>353</v>
      </c>
      <c r="AJ827" t="s">
        <v>1091</v>
      </c>
      <c r="AK827" s="1">
        <v>519221.1</v>
      </c>
      <c r="AL827" s="1">
        <v>0</v>
      </c>
      <c r="AM827" s="1">
        <v>519221.1</v>
      </c>
      <c r="AN827" s="1">
        <v>244610.55</v>
      </c>
      <c r="AO827" s="1">
        <v>0</v>
      </c>
      <c r="AP827" s="1">
        <v>244610.55</v>
      </c>
      <c r="AQ827" s="1">
        <v>74781.11</v>
      </c>
      <c r="AR827" s="1">
        <v>0</v>
      </c>
      <c r="AS827" s="1">
        <v>74781.11</v>
      </c>
      <c r="AT827" s="1">
        <v>0</v>
      </c>
      <c r="BA827" s="195"/>
      <c r="BB827" s="195"/>
      <c r="BC827" s="195"/>
      <c r="BD827" s="195"/>
      <c r="BE827" s="195"/>
      <c r="BF827" s="195"/>
      <c r="BG827" s="195"/>
      <c r="BH827" s="195"/>
      <c r="BI827" s="195"/>
    </row>
    <row r="828" spans="1:61" x14ac:dyDescent="0.25">
      <c r="A828" t="s">
        <v>343</v>
      </c>
      <c r="B828" t="s">
        <v>344</v>
      </c>
      <c r="C828" t="s">
        <v>1056</v>
      </c>
      <c r="D828" t="s">
        <v>1057</v>
      </c>
      <c r="E828" t="s">
        <v>1077</v>
      </c>
      <c r="F828" t="s">
        <v>1078</v>
      </c>
      <c r="G828" t="s">
        <v>1089</v>
      </c>
      <c r="H828" t="s">
        <v>1090</v>
      </c>
      <c r="I828" t="s">
        <v>1091</v>
      </c>
      <c r="J828" t="s">
        <v>417</v>
      </c>
      <c r="AG828" t="s">
        <v>420</v>
      </c>
      <c r="AH828" t="s">
        <v>421</v>
      </c>
      <c r="AI828" t="s">
        <v>353</v>
      </c>
      <c r="AJ828" t="s">
        <v>1091</v>
      </c>
      <c r="AK828" s="1">
        <v>4222766.46</v>
      </c>
      <c r="AL828" s="1">
        <v>0</v>
      </c>
      <c r="AM828" s="1">
        <v>4222766.46</v>
      </c>
      <c r="AN828" s="1">
        <v>2111298.2200000002</v>
      </c>
      <c r="AO828" s="1">
        <v>0</v>
      </c>
      <c r="AP828" s="1">
        <v>2111298.2200000002</v>
      </c>
      <c r="AQ828" s="1">
        <v>2026954.62</v>
      </c>
      <c r="AR828" s="1">
        <v>0</v>
      </c>
      <c r="AS828" s="1">
        <v>2026954.62</v>
      </c>
      <c r="AT828" s="1">
        <v>0</v>
      </c>
      <c r="BA828" s="195"/>
      <c r="BB828" s="195"/>
      <c r="BC828" s="195"/>
      <c r="BD828" s="195"/>
      <c r="BE828" s="195"/>
      <c r="BF828" s="195"/>
      <c r="BG828" s="195"/>
      <c r="BH828" s="195"/>
      <c r="BI828" s="195"/>
    </row>
    <row r="829" spans="1:61" x14ac:dyDescent="0.25">
      <c r="A829" t="s">
        <v>343</v>
      </c>
      <c r="B829" t="s">
        <v>344</v>
      </c>
      <c r="C829" t="s">
        <v>1056</v>
      </c>
      <c r="D829" t="s">
        <v>1057</v>
      </c>
      <c r="E829" t="s">
        <v>1077</v>
      </c>
      <c r="F829" t="s">
        <v>1078</v>
      </c>
      <c r="G829" t="s">
        <v>1089</v>
      </c>
      <c r="H829" t="s">
        <v>1090</v>
      </c>
      <c r="I829" t="s">
        <v>1091</v>
      </c>
      <c r="J829" t="s">
        <v>417</v>
      </c>
      <c r="AG829" t="s">
        <v>422</v>
      </c>
      <c r="AH829" t="s">
        <v>423</v>
      </c>
      <c r="AI829" t="s">
        <v>353</v>
      </c>
      <c r="AJ829" t="s">
        <v>1091</v>
      </c>
      <c r="AK829" s="1">
        <v>338046.32</v>
      </c>
      <c r="AL829" s="1">
        <v>0</v>
      </c>
      <c r="AM829" s="1">
        <v>338046.32</v>
      </c>
      <c r="AN829" s="1">
        <v>84023.16</v>
      </c>
      <c r="AO829" s="1">
        <v>0</v>
      </c>
      <c r="AP829" s="1">
        <v>84023.16</v>
      </c>
      <c r="AQ829" s="1">
        <v>43671.839999999997</v>
      </c>
      <c r="AR829" s="1">
        <v>0</v>
      </c>
      <c r="AS829" s="1">
        <v>43671.839999999997</v>
      </c>
      <c r="AT829" s="1">
        <v>0</v>
      </c>
      <c r="BA829" s="195"/>
      <c r="BB829" s="195"/>
      <c r="BC829" s="195"/>
      <c r="BD829" s="195"/>
      <c r="BE829" s="195"/>
      <c r="BF829" s="195"/>
      <c r="BG829" s="195"/>
      <c r="BH829" s="195"/>
      <c r="BI829" s="195"/>
    </row>
    <row r="830" spans="1:61" x14ac:dyDescent="0.25">
      <c r="A830" t="s">
        <v>343</v>
      </c>
      <c r="B830" t="s">
        <v>344</v>
      </c>
      <c r="C830" t="s">
        <v>1056</v>
      </c>
      <c r="D830" t="s">
        <v>1057</v>
      </c>
      <c r="E830" t="s">
        <v>1077</v>
      </c>
      <c r="F830" t="s">
        <v>1078</v>
      </c>
      <c r="G830" t="s">
        <v>1089</v>
      </c>
      <c r="H830" t="s">
        <v>1090</v>
      </c>
      <c r="I830" t="s">
        <v>1091</v>
      </c>
      <c r="J830" t="s">
        <v>417</v>
      </c>
      <c r="AG830" t="s">
        <v>424</v>
      </c>
      <c r="AH830" t="s">
        <v>425</v>
      </c>
      <c r="AI830" t="s">
        <v>353</v>
      </c>
      <c r="AJ830" t="s">
        <v>1091</v>
      </c>
      <c r="AK830" s="1">
        <v>-900</v>
      </c>
      <c r="AL830" s="1">
        <v>0</v>
      </c>
      <c r="AM830" s="1">
        <v>-900</v>
      </c>
      <c r="AN830" s="1">
        <v>1550</v>
      </c>
      <c r="AO830" s="1">
        <v>0</v>
      </c>
      <c r="AP830" s="1">
        <v>1550</v>
      </c>
      <c r="AQ830" s="1">
        <v>3009.7</v>
      </c>
      <c r="AR830" s="1">
        <v>0</v>
      </c>
      <c r="AS830" s="1">
        <v>3009.7</v>
      </c>
      <c r="AT830" s="1">
        <v>0</v>
      </c>
      <c r="BA830" s="195"/>
      <c r="BB830" s="195"/>
      <c r="BC830" s="195"/>
      <c r="BD830" s="195"/>
      <c r="BE830" s="195"/>
      <c r="BF830" s="195"/>
      <c r="BG830" s="195"/>
      <c r="BH830" s="195"/>
      <c r="BI830" s="195"/>
    </row>
    <row r="831" spans="1:61" x14ac:dyDescent="0.25">
      <c r="A831" t="s">
        <v>343</v>
      </c>
      <c r="B831" t="s">
        <v>344</v>
      </c>
      <c r="C831" t="s">
        <v>1056</v>
      </c>
      <c r="D831" t="s">
        <v>1057</v>
      </c>
      <c r="E831" t="s">
        <v>1077</v>
      </c>
      <c r="F831" t="s">
        <v>1078</v>
      </c>
      <c r="G831" t="s">
        <v>1089</v>
      </c>
      <c r="H831" t="s">
        <v>1090</v>
      </c>
      <c r="I831" t="s">
        <v>1091</v>
      </c>
      <c r="J831" t="s">
        <v>417</v>
      </c>
      <c r="AG831" t="s">
        <v>426</v>
      </c>
      <c r="AH831" t="s">
        <v>427</v>
      </c>
      <c r="AI831" t="s">
        <v>353</v>
      </c>
      <c r="AJ831" t="s">
        <v>1091</v>
      </c>
      <c r="AK831" s="1">
        <v>244257.02</v>
      </c>
      <c r="AL831" s="1">
        <v>0</v>
      </c>
      <c r="AM831" s="1">
        <v>244257.02</v>
      </c>
      <c r="AN831" s="1">
        <v>122128.51</v>
      </c>
      <c r="AO831" s="1">
        <v>0</v>
      </c>
      <c r="AP831" s="1">
        <v>122128.51</v>
      </c>
      <c r="AQ831" s="1">
        <v>122128.51</v>
      </c>
      <c r="AR831" s="1">
        <v>0</v>
      </c>
      <c r="AS831" s="1">
        <v>122128.51</v>
      </c>
      <c r="AT831" s="1">
        <v>0</v>
      </c>
      <c r="BA831" s="195"/>
      <c r="BB831" s="195"/>
      <c r="BC831" s="195"/>
      <c r="BD831" s="195"/>
      <c r="BE831" s="195"/>
      <c r="BF831" s="195"/>
      <c r="BG831" s="195"/>
      <c r="BH831" s="195"/>
      <c r="BI831" s="195"/>
    </row>
    <row r="832" spans="1:61" x14ac:dyDescent="0.25">
      <c r="A832" t="s">
        <v>343</v>
      </c>
      <c r="B832" t="s">
        <v>344</v>
      </c>
      <c r="C832" t="s">
        <v>1056</v>
      </c>
      <c r="D832" t="s">
        <v>1057</v>
      </c>
      <c r="E832" t="s">
        <v>1077</v>
      </c>
      <c r="F832" t="s">
        <v>1078</v>
      </c>
      <c r="G832" t="s">
        <v>1089</v>
      </c>
      <c r="H832" t="s">
        <v>1090</v>
      </c>
      <c r="I832" t="s">
        <v>1092</v>
      </c>
      <c r="J832" t="s">
        <v>433</v>
      </c>
      <c r="AG832" t="s">
        <v>434</v>
      </c>
      <c r="AH832" t="s">
        <v>435</v>
      </c>
      <c r="AI832" t="s">
        <v>353</v>
      </c>
      <c r="AJ832" t="s">
        <v>1092</v>
      </c>
      <c r="AK832" s="1">
        <v>13356.3</v>
      </c>
      <c r="AL832" s="1">
        <v>0</v>
      </c>
      <c r="AM832" s="1">
        <v>13356.3</v>
      </c>
      <c r="AN832" s="1">
        <v>6678.15</v>
      </c>
      <c r="AO832" s="1">
        <v>0</v>
      </c>
      <c r="AP832" s="1">
        <v>6678.15</v>
      </c>
      <c r="AQ832" s="1">
        <v>6678.15</v>
      </c>
      <c r="AR832" s="1">
        <v>0</v>
      </c>
      <c r="AS832" s="1">
        <v>6678.15</v>
      </c>
      <c r="AT832" s="1">
        <v>0</v>
      </c>
      <c r="BA832" s="195"/>
      <c r="BB832" s="195"/>
      <c r="BC832" s="195"/>
      <c r="BD832" s="195"/>
      <c r="BE832" s="195"/>
      <c r="BF832" s="195"/>
      <c r="BG832" s="195"/>
      <c r="BH832" s="195"/>
      <c r="BI832" s="195"/>
    </row>
    <row r="833" spans="1:61" x14ac:dyDescent="0.25">
      <c r="A833" t="s">
        <v>343</v>
      </c>
      <c r="B833" t="s">
        <v>344</v>
      </c>
      <c r="C833" t="s">
        <v>1056</v>
      </c>
      <c r="D833" t="s">
        <v>1057</v>
      </c>
      <c r="E833" t="s">
        <v>1077</v>
      </c>
      <c r="F833" t="s">
        <v>1078</v>
      </c>
      <c r="G833" t="s">
        <v>1089</v>
      </c>
      <c r="H833" t="s">
        <v>1090</v>
      </c>
      <c r="I833" t="s">
        <v>1092</v>
      </c>
      <c r="J833" t="s">
        <v>433</v>
      </c>
      <c r="AG833" t="s">
        <v>436</v>
      </c>
      <c r="AH833" t="s">
        <v>437</v>
      </c>
      <c r="AI833" t="s">
        <v>353</v>
      </c>
      <c r="AJ833" t="s">
        <v>1092</v>
      </c>
      <c r="AK833" s="1">
        <v>20956</v>
      </c>
      <c r="AL833" s="1">
        <v>0</v>
      </c>
      <c r="AM833" s="1">
        <v>20956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BA833" s="195"/>
      <c r="BB833" s="195"/>
      <c r="BC833" s="195"/>
      <c r="BD833" s="195"/>
      <c r="BE833" s="195"/>
      <c r="BF833" s="195"/>
      <c r="BG833" s="195"/>
      <c r="BH833" s="195"/>
      <c r="BI833" s="195"/>
    </row>
    <row r="834" spans="1:61" x14ac:dyDescent="0.25">
      <c r="A834" t="s">
        <v>343</v>
      </c>
      <c r="B834" t="s">
        <v>344</v>
      </c>
      <c r="C834" t="s">
        <v>1056</v>
      </c>
      <c r="D834" t="s">
        <v>1057</v>
      </c>
      <c r="E834" t="s">
        <v>1077</v>
      </c>
      <c r="F834" t="s">
        <v>1078</v>
      </c>
      <c r="G834" t="s">
        <v>1089</v>
      </c>
      <c r="H834" t="s">
        <v>1090</v>
      </c>
      <c r="I834" t="s">
        <v>1092</v>
      </c>
      <c r="J834" t="s">
        <v>433</v>
      </c>
      <c r="AG834" t="s">
        <v>438</v>
      </c>
      <c r="AH834" t="s">
        <v>439</v>
      </c>
      <c r="AI834" t="s">
        <v>353</v>
      </c>
      <c r="AJ834" t="s">
        <v>1092</v>
      </c>
      <c r="AK834" s="1">
        <v>15791.74</v>
      </c>
      <c r="AL834" s="1">
        <v>0</v>
      </c>
      <c r="AM834" s="1">
        <v>15791.74</v>
      </c>
      <c r="AN834" s="1">
        <v>1570</v>
      </c>
      <c r="AO834" s="1">
        <v>0</v>
      </c>
      <c r="AP834" s="1">
        <v>1570</v>
      </c>
      <c r="AQ834" s="1">
        <v>0</v>
      </c>
      <c r="AR834" s="1">
        <v>0</v>
      </c>
      <c r="AS834" s="1">
        <v>0</v>
      </c>
      <c r="AT834" s="1">
        <v>0</v>
      </c>
      <c r="BA834" s="195"/>
      <c r="BB834" s="195"/>
      <c r="BC834" s="195"/>
      <c r="BD834" s="195"/>
      <c r="BE834" s="195"/>
      <c r="BF834" s="195"/>
      <c r="BG834" s="195"/>
      <c r="BH834" s="195"/>
      <c r="BI834" s="195"/>
    </row>
    <row r="835" spans="1:61" x14ac:dyDescent="0.25">
      <c r="A835" t="s">
        <v>343</v>
      </c>
      <c r="B835" t="s">
        <v>344</v>
      </c>
      <c r="C835" t="s">
        <v>1056</v>
      </c>
      <c r="D835" t="s">
        <v>1057</v>
      </c>
      <c r="E835" t="s">
        <v>1077</v>
      </c>
      <c r="F835" t="s">
        <v>1078</v>
      </c>
      <c r="G835" t="s">
        <v>1089</v>
      </c>
      <c r="H835" t="s">
        <v>1090</v>
      </c>
      <c r="I835" t="s">
        <v>1092</v>
      </c>
      <c r="J835" t="s">
        <v>433</v>
      </c>
      <c r="AG835" t="s">
        <v>440</v>
      </c>
      <c r="AH835" t="s">
        <v>441</v>
      </c>
      <c r="AI835" t="s">
        <v>353</v>
      </c>
      <c r="AJ835" t="s">
        <v>1092</v>
      </c>
      <c r="AK835" s="1">
        <v>49454</v>
      </c>
      <c r="AL835" s="1">
        <v>0</v>
      </c>
      <c r="AM835" s="1">
        <v>49454</v>
      </c>
      <c r="AN835" s="1">
        <v>26490</v>
      </c>
      <c r="AO835" s="1">
        <v>0</v>
      </c>
      <c r="AP835" s="1">
        <v>26490</v>
      </c>
      <c r="AQ835" s="1">
        <v>28253</v>
      </c>
      <c r="AR835" s="1">
        <v>0</v>
      </c>
      <c r="AS835" s="1">
        <v>28253</v>
      </c>
      <c r="AT835" s="1">
        <v>0</v>
      </c>
      <c r="BA835" s="195"/>
      <c r="BB835" s="195"/>
      <c r="BC835" s="195"/>
      <c r="BD835" s="195"/>
      <c r="BE835" s="195"/>
      <c r="BF835" s="195"/>
      <c r="BG835" s="195"/>
      <c r="BH835" s="195"/>
      <c r="BI835" s="195"/>
    </row>
    <row r="836" spans="1:61" x14ac:dyDescent="0.25">
      <c r="A836" t="s">
        <v>343</v>
      </c>
      <c r="B836" t="s">
        <v>344</v>
      </c>
      <c r="C836" t="s">
        <v>1056</v>
      </c>
      <c r="D836" t="s">
        <v>1057</v>
      </c>
      <c r="E836" t="s">
        <v>1077</v>
      </c>
      <c r="F836" t="s">
        <v>1078</v>
      </c>
      <c r="G836" t="s">
        <v>1089</v>
      </c>
      <c r="H836" t="s">
        <v>1090</v>
      </c>
      <c r="I836" t="s">
        <v>1092</v>
      </c>
      <c r="J836" t="s">
        <v>433</v>
      </c>
      <c r="AG836" t="s">
        <v>442</v>
      </c>
      <c r="AH836" t="s">
        <v>443</v>
      </c>
      <c r="AI836" t="s">
        <v>353</v>
      </c>
      <c r="AJ836" t="s">
        <v>1092</v>
      </c>
      <c r="AK836" s="1">
        <v>32793.199999999997</v>
      </c>
      <c r="AL836" s="1">
        <v>0</v>
      </c>
      <c r="AM836" s="1">
        <v>32793.199999999997</v>
      </c>
      <c r="AN836" s="1">
        <v>7433.6</v>
      </c>
      <c r="AO836" s="1">
        <v>0</v>
      </c>
      <c r="AP836" s="1">
        <v>7433.6</v>
      </c>
      <c r="AQ836" s="1">
        <v>138</v>
      </c>
      <c r="AR836" s="1">
        <v>0</v>
      </c>
      <c r="AS836" s="1">
        <v>138</v>
      </c>
      <c r="AT836" s="1">
        <v>0</v>
      </c>
      <c r="BA836" s="195"/>
      <c r="BB836" s="195"/>
      <c r="BC836" s="195"/>
      <c r="BD836" s="195"/>
      <c r="BE836" s="195"/>
      <c r="BF836" s="195"/>
      <c r="BG836" s="195"/>
      <c r="BH836" s="195"/>
      <c r="BI836" s="195"/>
    </row>
    <row r="837" spans="1:61" x14ac:dyDescent="0.25">
      <c r="A837" t="s">
        <v>343</v>
      </c>
      <c r="B837" t="s">
        <v>344</v>
      </c>
      <c r="C837" t="s">
        <v>1056</v>
      </c>
      <c r="D837" t="s">
        <v>1057</v>
      </c>
      <c r="E837" t="s">
        <v>1077</v>
      </c>
      <c r="F837" t="s">
        <v>1078</v>
      </c>
      <c r="G837" t="s">
        <v>1089</v>
      </c>
      <c r="H837" t="s">
        <v>1090</v>
      </c>
      <c r="I837" t="s">
        <v>1092</v>
      </c>
      <c r="J837" t="s">
        <v>433</v>
      </c>
      <c r="AG837" t="s">
        <v>444</v>
      </c>
      <c r="AH837" t="s">
        <v>445</v>
      </c>
      <c r="AI837" t="s">
        <v>353</v>
      </c>
      <c r="AJ837" t="s">
        <v>1092</v>
      </c>
      <c r="AK837" s="1">
        <v>83449.86</v>
      </c>
      <c r="AL837" s="1">
        <v>0</v>
      </c>
      <c r="AM837" s="1">
        <v>83449.86</v>
      </c>
      <c r="AN837" s="1">
        <v>43378.43</v>
      </c>
      <c r="AO837" s="1">
        <v>0</v>
      </c>
      <c r="AP837" s="1">
        <v>43378.43</v>
      </c>
      <c r="AQ837" s="1">
        <v>45031.93</v>
      </c>
      <c r="AR837" s="1">
        <v>0</v>
      </c>
      <c r="AS837" s="1">
        <v>45031.93</v>
      </c>
      <c r="AT837" s="1">
        <v>0</v>
      </c>
      <c r="BA837" s="195"/>
      <c r="BB837" s="195"/>
      <c r="BC837" s="195"/>
      <c r="BD837" s="195"/>
      <c r="BE837" s="195"/>
      <c r="BF837" s="195"/>
      <c r="BG837" s="195"/>
      <c r="BH837" s="195"/>
      <c r="BI837" s="195"/>
    </row>
    <row r="838" spans="1:61" x14ac:dyDescent="0.25">
      <c r="A838" t="s">
        <v>343</v>
      </c>
      <c r="B838" t="s">
        <v>344</v>
      </c>
      <c r="C838" t="s">
        <v>1056</v>
      </c>
      <c r="D838" t="s">
        <v>1057</v>
      </c>
      <c r="E838" t="s">
        <v>1077</v>
      </c>
      <c r="F838" t="s">
        <v>1078</v>
      </c>
      <c r="G838" t="s">
        <v>1089</v>
      </c>
      <c r="H838" t="s">
        <v>1090</v>
      </c>
      <c r="I838" t="s">
        <v>1092</v>
      </c>
      <c r="J838" t="s">
        <v>433</v>
      </c>
      <c r="AG838" t="s">
        <v>446</v>
      </c>
      <c r="AH838" t="s">
        <v>447</v>
      </c>
      <c r="AI838" t="s">
        <v>353</v>
      </c>
      <c r="AJ838" t="s">
        <v>1092</v>
      </c>
      <c r="AK838" s="1">
        <v>95636.22</v>
      </c>
      <c r="AL838" s="1">
        <v>0</v>
      </c>
      <c r="AM838" s="1">
        <v>95636.22</v>
      </c>
      <c r="AN838" s="1">
        <v>39818.11</v>
      </c>
      <c r="AO838" s="1">
        <v>0</v>
      </c>
      <c r="AP838" s="1">
        <v>39818.11</v>
      </c>
      <c r="AQ838" s="1">
        <v>34246.89</v>
      </c>
      <c r="AR838" s="1">
        <v>0</v>
      </c>
      <c r="AS838" s="1">
        <v>34246.89</v>
      </c>
      <c r="AT838" s="1">
        <v>0</v>
      </c>
      <c r="BA838" s="195"/>
      <c r="BB838" s="195"/>
      <c r="BC838" s="195"/>
      <c r="BD838" s="195"/>
      <c r="BE838" s="195"/>
      <c r="BF838" s="195"/>
      <c r="BG838" s="195"/>
      <c r="BH838" s="195"/>
      <c r="BI838" s="195"/>
    </row>
    <row r="839" spans="1:61" x14ac:dyDescent="0.25">
      <c r="A839" t="s">
        <v>343</v>
      </c>
      <c r="B839" t="s">
        <v>344</v>
      </c>
      <c r="C839" t="s">
        <v>1056</v>
      </c>
      <c r="D839" t="s">
        <v>1057</v>
      </c>
      <c r="E839" t="s">
        <v>1077</v>
      </c>
      <c r="F839" t="s">
        <v>1078</v>
      </c>
      <c r="G839" t="s">
        <v>1089</v>
      </c>
      <c r="H839" t="s">
        <v>1090</v>
      </c>
      <c r="I839" t="s">
        <v>1092</v>
      </c>
      <c r="J839" t="s">
        <v>433</v>
      </c>
      <c r="AG839" t="s">
        <v>448</v>
      </c>
      <c r="AH839" t="s">
        <v>449</v>
      </c>
      <c r="AI839" t="s">
        <v>353</v>
      </c>
      <c r="AJ839" t="s">
        <v>1092</v>
      </c>
      <c r="AK839" s="1">
        <v>7731.04</v>
      </c>
      <c r="AL839" s="1">
        <v>0</v>
      </c>
      <c r="AM839" s="1">
        <v>7731.04</v>
      </c>
      <c r="AN839" s="1">
        <v>1210.5899999999999</v>
      </c>
      <c r="AO839" s="1">
        <v>0</v>
      </c>
      <c r="AP839" s="1">
        <v>1210.5899999999999</v>
      </c>
      <c r="AQ839" s="1">
        <v>0</v>
      </c>
      <c r="AR839" s="1">
        <v>0</v>
      </c>
      <c r="AS839" s="1">
        <v>0</v>
      </c>
      <c r="AT839" s="1">
        <v>0</v>
      </c>
      <c r="BA839" s="195"/>
      <c r="BB839" s="195"/>
      <c r="BC839" s="195"/>
      <c r="BD839" s="195"/>
      <c r="BE839" s="195"/>
      <c r="BF839" s="195"/>
      <c r="BG839" s="195"/>
      <c r="BH839" s="195"/>
      <c r="BI839" s="195"/>
    </row>
    <row r="840" spans="1:61" x14ac:dyDescent="0.25">
      <c r="A840" t="s">
        <v>343</v>
      </c>
      <c r="B840" t="s">
        <v>344</v>
      </c>
      <c r="C840" t="s">
        <v>1056</v>
      </c>
      <c r="D840" t="s">
        <v>1057</v>
      </c>
      <c r="E840" t="s">
        <v>1077</v>
      </c>
      <c r="F840" t="s">
        <v>1078</v>
      </c>
      <c r="G840" t="s">
        <v>1089</v>
      </c>
      <c r="H840" t="s">
        <v>1090</v>
      </c>
      <c r="I840" t="s">
        <v>1092</v>
      </c>
      <c r="J840" t="s">
        <v>433</v>
      </c>
      <c r="AG840" t="s">
        <v>450</v>
      </c>
      <c r="AH840" t="s">
        <v>451</v>
      </c>
      <c r="AI840" t="s">
        <v>353</v>
      </c>
      <c r="AJ840" t="s">
        <v>1092</v>
      </c>
      <c r="AK840" s="1">
        <v>0</v>
      </c>
      <c r="AL840" s="1">
        <v>0</v>
      </c>
      <c r="AM840" s="1">
        <v>0</v>
      </c>
      <c r="AN840" s="1">
        <v>0</v>
      </c>
      <c r="AO840" s="1">
        <v>0</v>
      </c>
      <c r="AP840" s="1">
        <v>0</v>
      </c>
      <c r="AQ840" s="1">
        <v>145950</v>
      </c>
      <c r="AR840" s="1">
        <v>0</v>
      </c>
      <c r="AS840" s="1">
        <v>145950</v>
      </c>
      <c r="AT840" s="1">
        <v>0</v>
      </c>
      <c r="BA840" s="195"/>
      <c r="BB840" s="195"/>
      <c r="BC840" s="195"/>
      <c r="BD840" s="195"/>
      <c r="BE840" s="195"/>
      <c r="BF840" s="195"/>
      <c r="BG840" s="195"/>
      <c r="BH840" s="195"/>
      <c r="BI840" s="195"/>
    </row>
    <row r="841" spans="1:61" x14ac:dyDescent="0.25">
      <c r="A841" t="s">
        <v>343</v>
      </c>
      <c r="B841" t="s">
        <v>344</v>
      </c>
      <c r="C841" t="s">
        <v>1056</v>
      </c>
      <c r="D841" t="s">
        <v>1057</v>
      </c>
      <c r="E841" t="s">
        <v>1077</v>
      </c>
      <c r="F841" t="s">
        <v>1078</v>
      </c>
      <c r="G841" t="s">
        <v>1089</v>
      </c>
      <c r="H841" t="s">
        <v>1090</v>
      </c>
      <c r="I841" t="s">
        <v>1093</v>
      </c>
      <c r="J841" t="s">
        <v>480</v>
      </c>
      <c r="AG841" t="s">
        <v>481</v>
      </c>
      <c r="AH841" t="s">
        <v>482</v>
      </c>
      <c r="AI841" t="s">
        <v>353</v>
      </c>
      <c r="AJ841" t="s">
        <v>1093</v>
      </c>
      <c r="AK841" s="1">
        <v>385304.92</v>
      </c>
      <c r="AL841" s="1">
        <v>0</v>
      </c>
      <c r="AM841" s="1">
        <v>385304.92</v>
      </c>
      <c r="AN841" s="1">
        <v>137453.25</v>
      </c>
      <c r="AO841" s="1">
        <v>0</v>
      </c>
      <c r="AP841" s="1">
        <v>137453.25</v>
      </c>
      <c r="AQ841" s="1">
        <v>82254.039999999994</v>
      </c>
      <c r="AR841" s="1">
        <v>0</v>
      </c>
      <c r="AS841" s="1">
        <v>82254.039999999994</v>
      </c>
      <c r="AT841" s="1">
        <v>0</v>
      </c>
      <c r="BA841" s="195"/>
      <c r="BB841" s="195"/>
      <c r="BC841" s="195"/>
      <c r="BD841" s="195"/>
      <c r="BE841" s="195"/>
      <c r="BF841" s="195"/>
      <c r="BG841" s="195"/>
      <c r="BH841" s="195"/>
      <c r="BI841" s="195"/>
    </row>
    <row r="842" spans="1:61" x14ac:dyDescent="0.25">
      <c r="A842" t="s">
        <v>343</v>
      </c>
      <c r="B842" t="s">
        <v>344</v>
      </c>
      <c r="C842" t="s">
        <v>1056</v>
      </c>
      <c r="D842" t="s">
        <v>1057</v>
      </c>
      <c r="E842" t="s">
        <v>1077</v>
      </c>
      <c r="F842" t="s">
        <v>1078</v>
      </c>
      <c r="G842" t="s">
        <v>1089</v>
      </c>
      <c r="H842" t="s">
        <v>1090</v>
      </c>
      <c r="I842" t="s">
        <v>1094</v>
      </c>
      <c r="J842" t="s">
        <v>484</v>
      </c>
      <c r="AG842" t="s">
        <v>485</v>
      </c>
      <c r="AH842" t="s">
        <v>486</v>
      </c>
      <c r="AI842" t="s">
        <v>353</v>
      </c>
      <c r="AJ842" t="s">
        <v>1094</v>
      </c>
      <c r="AK842" s="1">
        <v>6436.8</v>
      </c>
      <c r="AL842" s="1">
        <v>0</v>
      </c>
      <c r="AM842" s="1">
        <v>6436.8</v>
      </c>
      <c r="AN842" s="1">
        <v>1752.6</v>
      </c>
      <c r="AO842" s="1">
        <v>0</v>
      </c>
      <c r="AP842" s="1">
        <v>1752.6</v>
      </c>
      <c r="AQ842" s="1">
        <v>286.8</v>
      </c>
      <c r="AR842" s="1">
        <v>0</v>
      </c>
      <c r="AS842" s="1">
        <v>286.8</v>
      </c>
      <c r="AT842" s="1">
        <v>0</v>
      </c>
      <c r="BA842" s="195"/>
      <c r="BB842" s="195"/>
      <c r="BC842" s="195"/>
      <c r="BD842" s="195"/>
      <c r="BE842" s="195"/>
      <c r="BF842" s="195"/>
      <c r="BG842" s="195"/>
      <c r="BH842" s="195"/>
      <c r="BI842" s="195"/>
    </row>
    <row r="843" spans="1:61" x14ac:dyDescent="0.25">
      <c r="A843" t="s">
        <v>343</v>
      </c>
      <c r="B843" t="s">
        <v>344</v>
      </c>
      <c r="C843" t="s">
        <v>1056</v>
      </c>
      <c r="D843" t="s">
        <v>1057</v>
      </c>
      <c r="E843" t="s">
        <v>1077</v>
      </c>
      <c r="F843" t="s">
        <v>1078</v>
      </c>
      <c r="G843" t="s">
        <v>1089</v>
      </c>
      <c r="H843" t="s">
        <v>1090</v>
      </c>
      <c r="I843" t="s">
        <v>1095</v>
      </c>
      <c r="J843" t="s">
        <v>907</v>
      </c>
      <c r="AG843" t="s">
        <v>908</v>
      </c>
      <c r="AH843" t="s">
        <v>909</v>
      </c>
      <c r="AI843" t="s">
        <v>353</v>
      </c>
      <c r="AJ843" t="s">
        <v>1095</v>
      </c>
      <c r="AK843" s="1">
        <v>104.08</v>
      </c>
      <c r="AL843" s="1">
        <v>0</v>
      </c>
      <c r="AM843" s="1">
        <v>104.08</v>
      </c>
      <c r="AN843" s="1">
        <v>26.02</v>
      </c>
      <c r="AO843" s="1">
        <v>0</v>
      </c>
      <c r="AP843" s="1">
        <v>26.02</v>
      </c>
      <c r="AQ843" s="1">
        <v>0</v>
      </c>
      <c r="AR843" s="1">
        <v>0</v>
      </c>
      <c r="AS843" s="1">
        <v>0</v>
      </c>
      <c r="AT843" s="1">
        <v>0</v>
      </c>
      <c r="BA843" s="195"/>
      <c r="BB843" s="195"/>
      <c r="BC843" s="195"/>
      <c r="BD843" s="195"/>
      <c r="BE843" s="195"/>
      <c r="BF843" s="195"/>
      <c r="BG843" s="195"/>
      <c r="BH843" s="195"/>
      <c r="BI843" s="195"/>
    </row>
    <row r="844" spans="1:61" x14ac:dyDescent="0.25">
      <c r="A844" t="s">
        <v>343</v>
      </c>
      <c r="B844" t="s">
        <v>344</v>
      </c>
      <c r="C844" t="s">
        <v>1056</v>
      </c>
      <c r="D844" t="s">
        <v>1057</v>
      </c>
      <c r="E844" t="s">
        <v>1077</v>
      </c>
      <c r="F844" t="s">
        <v>1078</v>
      </c>
      <c r="G844" t="s">
        <v>1096</v>
      </c>
      <c r="H844" t="s">
        <v>1097</v>
      </c>
      <c r="I844" t="s">
        <v>1098</v>
      </c>
      <c r="J844" t="s">
        <v>847</v>
      </c>
      <c r="AG844" t="s">
        <v>848</v>
      </c>
      <c r="AH844" t="s">
        <v>849</v>
      </c>
      <c r="AI844" t="s">
        <v>353</v>
      </c>
      <c r="AJ844" t="s">
        <v>1098</v>
      </c>
      <c r="AK844" s="1">
        <v>856154.28</v>
      </c>
      <c r="AL844" s="1">
        <v>0</v>
      </c>
      <c r="AM844" s="1">
        <v>856154.28</v>
      </c>
      <c r="AN844" s="1">
        <v>340835.29</v>
      </c>
      <c r="AO844" s="1">
        <v>0</v>
      </c>
      <c r="AP844" s="1">
        <v>340835.29</v>
      </c>
      <c r="AQ844" s="1">
        <v>253593.44</v>
      </c>
      <c r="AR844" s="1">
        <v>0</v>
      </c>
      <c r="AS844" s="1">
        <v>253593.44</v>
      </c>
      <c r="AT844" s="1">
        <v>0</v>
      </c>
      <c r="BA844" s="195"/>
      <c r="BB844" s="195"/>
      <c r="BC844" s="195"/>
      <c r="BD844" s="195"/>
      <c r="BE844" s="195"/>
      <c r="BF844" s="195"/>
      <c r="BG844" s="195"/>
      <c r="BH844" s="195"/>
      <c r="BI844" s="195"/>
    </row>
    <row r="845" spans="1:61" x14ac:dyDescent="0.25">
      <c r="A845" t="s">
        <v>343</v>
      </c>
      <c r="B845" t="s">
        <v>344</v>
      </c>
      <c r="C845" t="s">
        <v>1056</v>
      </c>
      <c r="D845" t="s">
        <v>1057</v>
      </c>
      <c r="E845" t="s">
        <v>1077</v>
      </c>
      <c r="F845" t="s">
        <v>1078</v>
      </c>
      <c r="G845" t="s">
        <v>1096</v>
      </c>
      <c r="H845" t="s">
        <v>1097</v>
      </c>
      <c r="I845" t="s">
        <v>1098</v>
      </c>
      <c r="J845" t="s">
        <v>847</v>
      </c>
      <c r="AG845" t="s">
        <v>850</v>
      </c>
      <c r="AH845" t="s">
        <v>851</v>
      </c>
      <c r="AI845" t="s">
        <v>353</v>
      </c>
      <c r="AJ845" t="s">
        <v>1098</v>
      </c>
      <c r="AK845" s="1">
        <v>613245.19999999995</v>
      </c>
      <c r="AL845" s="1">
        <v>0</v>
      </c>
      <c r="AM845" s="1">
        <v>613245.19999999995</v>
      </c>
      <c r="AN845" s="1">
        <v>269354.88</v>
      </c>
      <c r="AO845" s="1">
        <v>0</v>
      </c>
      <c r="AP845" s="1">
        <v>269354.88</v>
      </c>
      <c r="AQ845" s="1">
        <v>232087.16</v>
      </c>
      <c r="AR845" s="1">
        <v>0</v>
      </c>
      <c r="AS845" s="1">
        <v>232087.16</v>
      </c>
      <c r="AT845" s="1">
        <v>0</v>
      </c>
      <c r="BA845" s="195"/>
      <c r="BB845" s="195"/>
      <c r="BC845" s="195"/>
      <c r="BD845" s="195"/>
      <c r="BE845" s="195"/>
      <c r="BF845" s="195"/>
      <c r="BG845" s="195"/>
      <c r="BH845" s="195"/>
      <c r="BI845" s="195"/>
    </row>
    <row r="846" spans="1:61" x14ac:dyDescent="0.25">
      <c r="A846" t="s">
        <v>343</v>
      </c>
      <c r="B846" t="s">
        <v>344</v>
      </c>
      <c r="C846" t="s">
        <v>1056</v>
      </c>
      <c r="D846" t="s">
        <v>1057</v>
      </c>
      <c r="E846" t="s">
        <v>1077</v>
      </c>
      <c r="F846" t="s">
        <v>1078</v>
      </c>
      <c r="G846" t="s">
        <v>1096</v>
      </c>
      <c r="H846" t="s">
        <v>1097</v>
      </c>
      <c r="I846" t="s">
        <v>1099</v>
      </c>
      <c r="J846" t="s">
        <v>853</v>
      </c>
      <c r="AG846" t="s">
        <v>436</v>
      </c>
      <c r="AH846" t="s">
        <v>437</v>
      </c>
      <c r="AI846" t="s">
        <v>353</v>
      </c>
      <c r="AJ846" t="s">
        <v>1099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12488.96</v>
      </c>
      <c r="AR846" s="1">
        <v>0</v>
      </c>
      <c r="AS846" s="1">
        <v>12488.96</v>
      </c>
      <c r="AT846" s="1">
        <v>0</v>
      </c>
      <c r="BA846" s="195"/>
      <c r="BB846" s="195"/>
      <c r="BC846" s="195"/>
      <c r="BD846" s="195"/>
      <c r="BE846" s="195"/>
      <c r="BF846" s="195"/>
      <c r="BG846" s="195"/>
      <c r="BH846" s="195"/>
      <c r="BI846" s="195"/>
    </row>
    <row r="847" spans="1:61" x14ac:dyDescent="0.25">
      <c r="A847" t="s">
        <v>343</v>
      </c>
      <c r="B847" t="s">
        <v>344</v>
      </c>
      <c r="C847" t="s">
        <v>1056</v>
      </c>
      <c r="D847" t="s">
        <v>1057</v>
      </c>
      <c r="E847" t="s">
        <v>1077</v>
      </c>
      <c r="F847" t="s">
        <v>1078</v>
      </c>
      <c r="G847" t="s">
        <v>1096</v>
      </c>
      <c r="H847" t="s">
        <v>1097</v>
      </c>
      <c r="I847" t="s">
        <v>1099</v>
      </c>
      <c r="J847" t="s">
        <v>853</v>
      </c>
      <c r="AG847" t="s">
        <v>438</v>
      </c>
      <c r="AH847" t="s">
        <v>439</v>
      </c>
      <c r="AI847" t="s">
        <v>353</v>
      </c>
      <c r="AJ847" t="s">
        <v>1099</v>
      </c>
      <c r="AK847" s="1">
        <v>0</v>
      </c>
      <c r="AL847" s="1">
        <v>0</v>
      </c>
      <c r="AM847" s="1">
        <v>0</v>
      </c>
      <c r="AN847" s="1">
        <v>0</v>
      </c>
      <c r="AO847" s="1">
        <v>0</v>
      </c>
      <c r="AP847" s="1">
        <v>0</v>
      </c>
      <c r="AQ847" s="1">
        <v>6187.95</v>
      </c>
      <c r="AR847" s="1">
        <v>0</v>
      </c>
      <c r="AS847" s="1">
        <v>6187.95</v>
      </c>
      <c r="AT847" s="1">
        <v>0</v>
      </c>
      <c r="BA847" s="195"/>
      <c r="BB847" s="195"/>
      <c r="BC847" s="195"/>
      <c r="BD847" s="195"/>
      <c r="BE847" s="195"/>
      <c r="BF847" s="195"/>
      <c r="BG847" s="195"/>
      <c r="BH847" s="195"/>
      <c r="BI847" s="195"/>
    </row>
    <row r="848" spans="1:61" x14ac:dyDescent="0.25">
      <c r="A848" t="s">
        <v>343</v>
      </c>
      <c r="B848" t="s">
        <v>344</v>
      </c>
      <c r="C848" t="s">
        <v>1056</v>
      </c>
      <c r="D848" t="s">
        <v>1057</v>
      </c>
      <c r="E848" t="s">
        <v>1077</v>
      </c>
      <c r="F848" t="s">
        <v>1078</v>
      </c>
      <c r="G848" t="s">
        <v>1096</v>
      </c>
      <c r="H848" t="s">
        <v>1097</v>
      </c>
      <c r="I848" t="s">
        <v>1099</v>
      </c>
      <c r="J848" t="s">
        <v>853</v>
      </c>
      <c r="AG848" t="s">
        <v>854</v>
      </c>
      <c r="AH848" t="s">
        <v>693</v>
      </c>
      <c r="AI848" t="s">
        <v>353</v>
      </c>
      <c r="AJ848" t="s">
        <v>1099</v>
      </c>
      <c r="AK848" s="1">
        <v>5705.9</v>
      </c>
      <c r="AL848" s="1">
        <v>0</v>
      </c>
      <c r="AM848" s="1">
        <v>5705.9</v>
      </c>
      <c r="AN848" s="1">
        <v>3018</v>
      </c>
      <c r="AO848" s="1">
        <v>0</v>
      </c>
      <c r="AP848" s="1">
        <v>3018</v>
      </c>
      <c r="AQ848" s="1">
        <v>3183.05</v>
      </c>
      <c r="AR848" s="1">
        <v>0</v>
      </c>
      <c r="AS848" s="1">
        <v>3183.05</v>
      </c>
      <c r="AT848" s="1">
        <v>0</v>
      </c>
      <c r="BA848" s="195"/>
      <c r="BB848" s="195"/>
      <c r="BC848" s="195"/>
      <c r="BD848" s="195"/>
      <c r="BE848" s="195"/>
      <c r="BF848" s="195"/>
      <c r="BG848" s="195"/>
      <c r="BH848" s="195"/>
      <c r="BI848" s="195"/>
    </row>
    <row r="849" spans="1:61" x14ac:dyDescent="0.25">
      <c r="A849" t="s">
        <v>343</v>
      </c>
      <c r="B849" t="s">
        <v>344</v>
      </c>
      <c r="C849" t="s">
        <v>1056</v>
      </c>
      <c r="D849" t="s">
        <v>1057</v>
      </c>
      <c r="E849" t="s">
        <v>1077</v>
      </c>
      <c r="F849" t="s">
        <v>1078</v>
      </c>
      <c r="G849" t="s">
        <v>1096</v>
      </c>
      <c r="H849" t="s">
        <v>1097</v>
      </c>
      <c r="I849" t="s">
        <v>1099</v>
      </c>
      <c r="J849" t="s">
        <v>853</v>
      </c>
      <c r="AG849" t="s">
        <v>855</v>
      </c>
      <c r="AH849" t="s">
        <v>856</v>
      </c>
      <c r="AI849" t="s">
        <v>353</v>
      </c>
      <c r="AJ849" t="s">
        <v>1099</v>
      </c>
      <c r="AK849" s="1">
        <v>655347.43999999994</v>
      </c>
      <c r="AL849" s="1">
        <v>0</v>
      </c>
      <c r="AM849" s="1">
        <v>655347.43999999994</v>
      </c>
      <c r="AN849" s="1">
        <v>327873.71999999997</v>
      </c>
      <c r="AO849" s="1">
        <v>0</v>
      </c>
      <c r="AP849" s="1">
        <v>327873.71999999997</v>
      </c>
      <c r="AQ849" s="1">
        <v>328665.17</v>
      </c>
      <c r="AR849" s="1">
        <v>0</v>
      </c>
      <c r="AS849" s="1">
        <v>328665.17</v>
      </c>
      <c r="AT849" s="1">
        <v>0</v>
      </c>
      <c r="BA849" s="195"/>
      <c r="BB849" s="195"/>
      <c r="BC849" s="195"/>
      <c r="BD849" s="195"/>
      <c r="BE849" s="195"/>
      <c r="BF849" s="195"/>
      <c r="BG849" s="195"/>
      <c r="BH849" s="195"/>
      <c r="BI849" s="195"/>
    </row>
    <row r="850" spans="1:61" x14ac:dyDescent="0.25">
      <c r="A850" t="s">
        <v>343</v>
      </c>
      <c r="B850" t="s">
        <v>344</v>
      </c>
      <c r="C850" t="s">
        <v>1056</v>
      </c>
      <c r="D850" t="s">
        <v>1057</v>
      </c>
      <c r="E850" t="s">
        <v>1077</v>
      </c>
      <c r="F850" t="s">
        <v>1078</v>
      </c>
      <c r="G850" t="s">
        <v>1096</v>
      </c>
      <c r="H850" t="s">
        <v>1097</v>
      </c>
      <c r="I850" t="s">
        <v>1099</v>
      </c>
      <c r="J850" t="s">
        <v>853</v>
      </c>
      <c r="AG850" t="s">
        <v>857</v>
      </c>
      <c r="AH850" t="s">
        <v>858</v>
      </c>
      <c r="AI850" t="s">
        <v>353</v>
      </c>
      <c r="AJ850" t="s">
        <v>1099</v>
      </c>
      <c r="AK850" s="1">
        <v>6398.08</v>
      </c>
      <c r="AL850" s="1">
        <v>0</v>
      </c>
      <c r="AM850" s="1">
        <v>6398.08</v>
      </c>
      <c r="AN850" s="1">
        <v>3199.04</v>
      </c>
      <c r="AO850" s="1">
        <v>0</v>
      </c>
      <c r="AP850" s="1">
        <v>3199.04</v>
      </c>
      <c r="AQ850" s="1">
        <v>3199.04</v>
      </c>
      <c r="AR850" s="1">
        <v>0</v>
      </c>
      <c r="AS850" s="1">
        <v>3199.04</v>
      </c>
      <c r="AT850" s="1">
        <v>0</v>
      </c>
      <c r="BA850" s="195"/>
      <c r="BB850" s="195"/>
      <c r="BC850" s="195"/>
      <c r="BD850" s="195"/>
      <c r="BE850" s="195"/>
      <c r="BF850" s="195"/>
      <c r="BG850" s="195"/>
      <c r="BH850" s="195"/>
      <c r="BI850" s="195"/>
    </row>
    <row r="851" spans="1:61" x14ac:dyDescent="0.25">
      <c r="A851" t="s">
        <v>343</v>
      </c>
      <c r="B851" t="s">
        <v>344</v>
      </c>
      <c r="C851" t="s">
        <v>1056</v>
      </c>
      <c r="D851" t="s">
        <v>1057</v>
      </c>
      <c r="E851" t="s">
        <v>1077</v>
      </c>
      <c r="F851" t="s">
        <v>1078</v>
      </c>
      <c r="G851" t="s">
        <v>1096</v>
      </c>
      <c r="H851" t="s">
        <v>1097</v>
      </c>
      <c r="I851" t="s">
        <v>1099</v>
      </c>
      <c r="J851" t="s">
        <v>853</v>
      </c>
      <c r="AG851" t="s">
        <v>859</v>
      </c>
      <c r="AH851" t="s">
        <v>734</v>
      </c>
      <c r="AI851" t="s">
        <v>353</v>
      </c>
      <c r="AJ851" t="s">
        <v>1099</v>
      </c>
      <c r="AK851" s="1">
        <v>506372.96</v>
      </c>
      <c r="AL851" s="1">
        <v>0</v>
      </c>
      <c r="AM851" s="1">
        <v>506372.96</v>
      </c>
      <c r="AN851" s="1">
        <v>243330.14</v>
      </c>
      <c r="AO851" s="1">
        <v>0</v>
      </c>
      <c r="AP851" s="1">
        <v>243330.14</v>
      </c>
      <c r="AQ851" s="1">
        <v>234509.75</v>
      </c>
      <c r="AR851" s="1">
        <v>0</v>
      </c>
      <c r="AS851" s="1">
        <v>234509.75</v>
      </c>
      <c r="AT851" s="1">
        <v>0</v>
      </c>
      <c r="BA851" s="195"/>
      <c r="BB851" s="195"/>
      <c r="BC851" s="195"/>
      <c r="BD851" s="195"/>
      <c r="BE851" s="195"/>
      <c r="BF851" s="195"/>
      <c r="BG851" s="195"/>
      <c r="BH851" s="195"/>
      <c r="BI851" s="195"/>
    </row>
    <row r="852" spans="1:61" x14ac:dyDescent="0.25">
      <c r="A852" t="s">
        <v>343</v>
      </c>
      <c r="B852" t="s">
        <v>344</v>
      </c>
      <c r="C852" t="s">
        <v>1056</v>
      </c>
      <c r="D852" t="s">
        <v>1057</v>
      </c>
      <c r="E852" t="s">
        <v>1077</v>
      </c>
      <c r="F852" t="s">
        <v>1078</v>
      </c>
      <c r="G852" t="s">
        <v>1096</v>
      </c>
      <c r="H852" t="s">
        <v>1097</v>
      </c>
      <c r="I852" t="s">
        <v>1099</v>
      </c>
      <c r="J852" t="s">
        <v>853</v>
      </c>
      <c r="AG852" t="s">
        <v>860</v>
      </c>
      <c r="AH852" t="s">
        <v>861</v>
      </c>
      <c r="AI852" t="s">
        <v>353</v>
      </c>
      <c r="AJ852" t="s">
        <v>1099</v>
      </c>
      <c r="AK852" s="1">
        <v>604638.56000000006</v>
      </c>
      <c r="AL852" s="1">
        <v>0</v>
      </c>
      <c r="AM852" s="1">
        <v>604638.56000000006</v>
      </c>
      <c r="AN852" s="1">
        <v>293783.28000000003</v>
      </c>
      <c r="AO852" s="1">
        <v>0</v>
      </c>
      <c r="AP852" s="1">
        <v>293783.28000000003</v>
      </c>
      <c r="AQ852" s="1">
        <v>241230.02</v>
      </c>
      <c r="AR852" s="1">
        <v>0</v>
      </c>
      <c r="AS852" s="1">
        <v>241230.02</v>
      </c>
      <c r="AT852" s="1">
        <v>0</v>
      </c>
      <c r="BA852" s="195"/>
      <c r="BB852" s="195"/>
      <c r="BC852" s="195"/>
      <c r="BD852" s="195"/>
      <c r="BE852" s="195"/>
      <c r="BF852" s="195"/>
      <c r="BG852" s="195"/>
      <c r="BH852" s="195"/>
      <c r="BI852" s="195"/>
    </row>
    <row r="853" spans="1:61" x14ac:dyDescent="0.25">
      <c r="A853" t="s">
        <v>343</v>
      </c>
      <c r="B853" t="s">
        <v>344</v>
      </c>
      <c r="C853" t="s">
        <v>1056</v>
      </c>
      <c r="D853" t="s">
        <v>1057</v>
      </c>
      <c r="E853" t="s">
        <v>1077</v>
      </c>
      <c r="F853" t="s">
        <v>1078</v>
      </c>
      <c r="G853" t="s">
        <v>1096</v>
      </c>
      <c r="H853" t="s">
        <v>1097</v>
      </c>
      <c r="I853" t="s">
        <v>1099</v>
      </c>
      <c r="J853" t="s">
        <v>853</v>
      </c>
      <c r="AG853" t="s">
        <v>862</v>
      </c>
      <c r="AH853" t="s">
        <v>863</v>
      </c>
      <c r="AI853" t="s">
        <v>353</v>
      </c>
      <c r="AJ853" t="s">
        <v>1099</v>
      </c>
      <c r="AK853" s="1">
        <v>106758</v>
      </c>
      <c r="AL853" s="1">
        <v>0</v>
      </c>
      <c r="AM853" s="1">
        <v>106758</v>
      </c>
      <c r="AN853" s="1">
        <v>55302</v>
      </c>
      <c r="AO853" s="1">
        <v>0</v>
      </c>
      <c r="AP853" s="1">
        <v>55302</v>
      </c>
      <c r="AQ853" s="1">
        <v>57225</v>
      </c>
      <c r="AR853" s="1">
        <v>0</v>
      </c>
      <c r="AS853" s="1">
        <v>57225</v>
      </c>
      <c r="AT853" s="1">
        <v>0</v>
      </c>
      <c r="BA853" s="195"/>
      <c r="BB853" s="195"/>
      <c r="BC853" s="195"/>
      <c r="BD853" s="195"/>
      <c r="BE853" s="195"/>
      <c r="BF853" s="195"/>
      <c r="BG853" s="195"/>
      <c r="BH853" s="195"/>
      <c r="BI853" s="195"/>
    </row>
    <row r="854" spans="1:61" x14ac:dyDescent="0.25">
      <c r="A854" t="s">
        <v>343</v>
      </c>
      <c r="B854" t="s">
        <v>344</v>
      </c>
      <c r="C854" t="s">
        <v>1056</v>
      </c>
      <c r="D854" t="s">
        <v>1057</v>
      </c>
      <c r="E854" t="s">
        <v>1077</v>
      </c>
      <c r="F854" t="s">
        <v>1078</v>
      </c>
      <c r="G854" t="s">
        <v>1096</v>
      </c>
      <c r="H854" t="s">
        <v>1097</v>
      </c>
      <c r="I854" t="s">
        <v>1099</v>
      </c>
      <c r="J854" t="s">
        <v>853</v>
      </c>
      <c r="AG854" t="s">
        <v>864</v>
      </c>
      <c r="AH854" t="s">
        <v>865</v>
      </c>
      <c r="AI854" t="s">
        <v>353</v>
      </c>
      <c r="AJ854" t="s">
        <v>1099</v>
      </c>
      <c r="AK854" s="1">
        <v>95972</v>
      </c>
      <c r="AL854" s="1">
        <v>0</v>
      </c>
      <c r="AM854" s="1">
        <v>95972</v>
      </c>
      <c r="AN854" s="1">
        <v>52829</v>
      </c>
      <c r="AO854" s="1">
        <v>0</v>
      </c>
      <c r="AP854" s="1">
        <v>52829</v>
      </c>
      <c r="AQ854" s="1">
        <v>57672</v>
      </c>
      <c r="AR854" s="1">
        <v>0</v>
      </c>
      <c r="AS854" s="1">
        <v>57672</v>
      </c>
      <c r="AT854" s="1">
        <v>0</v>
      </c>
      <c r="BA854" s="195"/>
      <c r="BB854" s="195"/>
      <c r="BC854" s="195"/>
      <c r="BD854" s="195"/>
      <c r="BE854" s="195"/>
      <c r="BF854" s="195"/>
      <c r="BG854" s="195"/>
      <c r="BH854" s="195"/>
      <c r="BI854" s="195"/>
    </row>
    <row r="855" spans="1:61" x14ac:dyDescent="0.25">
      <c r="A855" t="s">
        <v>343</v>
      </c>
      <c r="B855" t="s">
        <v>344</v>
      </c>
      <c r="C855" t="s">
        <v>1056</v>
      </c>
      <c r="D855" t="s">
        <v>1057</v>
      </c>
      <c r="E855" t="s">
        <v>1077</v>
      </c>
      <c r="F855" t="s">
        <v>1078</v>
      </c>
      <c r="G855" t="s">
        <v>1096</v>
      </c>
      <c r="H855" t="s">
        <v>1097</v>
      </c>
      <c r="I855" t="s">
        <v>1099</v>
      </c>
      <c r="J855" t="s">
        <v>853</v>
      </c>
      <c r="AG855" t="s">
        <v>866</v>
      </c>
      <c r="AH855" t="s">
        <v>867</v>
      </c>
      <c r="AI855" t="s">
        <v>353</v>
      </c>
      <c r="AJ855" t="s">
        <v>1099</v>
      </c>
      <c r="AK855" s="1">
        <v>155729.64000000001</v>
      </c>
      <c r="AL855" s="1">
        <v>0</v>
      </c>
      <c r="AM855" s="1">
        <v>155729.64000000001</v>
      </c>
      <c r="AN855" s="1">
        <v>63018.25</v>
      </c>
      <c r="AO855" s="1">
        <v>0</v>
      </c>
      <c r="AP855" s="1">
        <v>63018.25</v>
      </c>
      <c r="AQ855" s="1">
        <v>48171.68</v>
      </c>
      <c r="AR855" s="1">
        <v>0</v>
      </c>
      <c r="AS855" s="1">
        <v>48171.68</v>
      </c>
      <c r="AT855" s="1">
        <v>0</v>
      </c>
      <c r="BA855" s="195"/>
      <c r="BB855" s="195"/>
      <c r="BC855" s="195"/>
      <c r="BD855" s="195"/>
      <c r="BE855" s="195"/>
      <c r="BF855" s="195"/>
      <c r="BG855" s="195"/>
      <c r="BH855" s="195"/>
      <c r="BI855" s="195"/>
    </row>
    <row r="856" spans="1:61" x14ac:dyDescent="0.25">
      <c r="A856" t="s">
        <v>343</v>
      </c>
      <c r="B856" t="s">
        <v>344</v>
      </c>
      <c r="C856" t="s">
        <v>1056</v>
      </c>
      <c r="D856" t="s">
        <v>1057</v>
      </c>
      <c r="E856" t="s">
        <v>1077</v>
      </c>
      <c r="F856" t="s">
        <v>1078</v>
      </c>
      <c r="G856" t="s">
        <v>1096</v>
      </c>
      <c r="H856" t="s">
        <v>1097</v>
      </c>
      <c r="I856" t="s">
        <v>1099</v>
      </c>
      <c r="J856" t="s">
        <v>853</v>
      </c>
      <c r="AG856" t="s">
        <v>868</v>
      </c>
      <c r="AH856" t="s">
        <v>869</v>
      </c>
      <c r="AI856" t="s">
        <v>353</v>
      </c>
      <c r="AJ856" t="s">
        <v>1099</v>
      </c>
      <c r="AK856" s="1">
        <v>26215.64</v>
      </c>
      <c r="AL856" s="1">
        <v>0</v>
      </c>
      <c r="AM856" s="1">
        <v>26215.64</v>
      </c>
      <c r="AN856" s="1">
        <v>35028.57</v>
      </c>
      <c r="AO856" s="1">
        <v>0</v>
      </c>
      <c r="AP856" s="1">
        <v>35028.57</v>
      </c>
      <c r="AQ856" s="1">
        <v>56949.32</v>
      </c>
      <c r="AR856" s="1">
        <v>0</v>
      </c>
      <c r="AS856" s="1">
        <v>56949.32</v>
      </c>
      <c r="AT856" s="1">
        <v>0</v>
      </c>
      <c r="BA856" s="195"/>
      <c r="BB856" s="195"/>
      <c r="BC856" s="195"/>
      <c r="BD856" s="195"/>
      <c r="BE856" s="195"/>
      <c r="BF856" s="195"/>
      <c r="BG856" s="195"/>
      <c r="BH856" s="195"/>
      <c r="BI856" s="195"/>
    </row>
    <row r="857" spans="1:61" x14ac:dyDescent="0.25">
      <c r="A857" t="s">
        <v>343</v>
      </c>
      <c r="B857" t="s">
        <v>344</v>
      </c>
      <c r="C857" t="s">
        <v>1056</v>
      </c>
      <c r="D857" t="s">
        <v>1057</v>
      </c>
      <c r="E857" t="s">
        <v>1077</v>
      </c>
      <c r="F857" t="s">
        <v>1078</v>
      </c>
      <c r="G857" t="s">
        <v>1096</v>
      </c>
      <c r="H857" t="s">
        <v>1097</v>
      </c>
      <c r="I857" t="s">
        <v>1099</v>
      </c>
      <c r="J857" t="s">
        <v>853</v>
      </c>
      <c r="AG857" t="s">
        <v>870</v>
      </c>
      <c r="AH857" t="s">
        <v>871</v>
      </c>
      <c r="AI857" t="s">
        <v>353</v>
      </c>
      <c r="AJ857" t="s">
        <v>1099</v>
      </c>
      <c r="AK857" s="1">
        <v>20306.919999999998</v>
      </c>
      <c r="AL857" s="1">
        <v>0</v>
      </c>
      <c r="AM857" s="1">
        <v>20306.919999999998</v>
      </c>
      <c r="AN857" s="1">
        <v>10734.04</v>
      </c>
      <c r="AO857" s="1">
        <v>0</v>
      </c>
      <c r="AP857" s="1">
        <v>10734.04</v>
      </c>
      <c r="AQ857" s="1">
        <v>11314.62</v>
      </c>
      <c r="AR857" s="1">
        <v>0</v>
      </c>
      <c r="AS857" s="1">
        <v>11314.62</v>
      </c>
      <c r="AT857" s="1">
        <v>0</v>
      </c>
      <c r="BA857" s="195"/>
      <c r="BB857" s="195"/>
      <c r="BC857" s="195"/>
      <c r="BD857" s="195"/>
      <c r="BE857" s="195"/>
      <c r="BF857" s="195"/>
      <c r="BG857" s="195"/>
      <c r="BH857" s="195"/>
      <c r="BI857" s="195"/>
    </row>
    <row r="858" spans="1:61" x14ac:dyDescent="0.25">
      <c r="A858" t="s">
        <v>343</v>
      </c>
      <c r="B858" t="s">
        <v>344</v>
      </c>
      <c r="C858" t="s">
        <v>1056</v>
      </c>
      <c r="D858" t="s">
        <v>1057</v>
      </c>
      <c r="E858" t="s">
        <v>1077</v>
      </c>
      <c r="F858" t="s">
        <v>1078</v>
      </c>
      <c r="G858" t="s">
        <v>1096</v>
      </c>
      <c r="H858" t="s">
        <v>1097</v>
      </c>
      <c r="I858" t="s">
        <v>1099</v>
      </c>
      <c r="J858" t="s">
        <v>853</v>
      </c>
      <c r="AG858" t="s">
        <v>872</v>
      </c>
      <c r="AH858" t="s">
        <v>873</v>
      </c>
      <c r="AI858" t="s">
        <v>353</v>
      </c>
      <c r="AJ858" t="s">
        <v>1099</v>
      </c>
      <c r="AK858" s="1">
        <v>14471.16</v>
      </c>
      <c r="AL858" s="1">
        <v>0</v>
      </c>
      <c r="AM858" s="1">
        <v>14471.16</v>
      </c>
      <c r="AN858" s="1">
        <v>6813.85</v>
      </c>
      <c r="AO858" s="1">
        <v>0</v>
      </c>
      <c r="AP858" s="1">
        <v>6813.85</v>
      </c>
      <c r="AQ858" s="1">
        <v>6392.12</v>
      </c>
      <c r="AR858" s="1">
        <v>0</v>
      </c>
      <c r="AS858" s="1">
        <v>6392.12</v>
      </c>
      <c r="AT858" s="1">
        <v>0</v>
      </c>
      <c r="BA858" s="195"/>
      <c r="BB858" s="195"/>
      <c r="BC858" s="195"/>
      <c r="BD858" s="195"/>
      <c r="BE858" s="195"/>
      <c r="BF858" s="195"/>
      <c r="BG858" s="195"/>
      <c r="BH858" s="195"/>
      <c r="BI858" s="195"/>
    </row>
    <row r="859" spans="1:61" x14ac:dyDescent="0.25">
      <c r="A859" t="s">
        <v>343</v>
      </c>
      <c r="B859" t="s">
        <v>344</v>
      </c>
      <c r="C859" t="s">
        <v>1056</v>
      </c>
      <c r="D859" t="s">
        <v>1057</v>
      </c>
      <c r="E859" t="s">
        <v>1077</v>
      </c>
      <c r="F859" t="s">
        <v>1078</v>
      </c>
      <c r="G859" t="s">
        <v>1096</v>
      </c>
      <c r="H859" t="s">
        <v>1097</v>
      </c>
      <c r="I859" t="s">
        <v>1099</v>
      </c>
      <c r="J859" t="s">
        <v>853</v>
      </c>
      <c r="AG859" t="s">
        <v>874</v>
      </c>
      <c r="AH859" t="s">
        <v>875</v>
      </c>
      <c r="AI859" t="s">
        <v>353</v>
      </c>
      <c r="AJ859" t="s">
        <v>1099</v>
      </c>
      <c r="AK859" s="1">
        <v>32094</v>
      </c>
      <c r="AL859" s="1">
        <v>0</v>
      </c>
      <c r="AM859" s="1">
        <v>32094</v>
      </c>
      <c r="AN859" s="1">
        <v>17482</v>
      </c>
      <c r="AO859" s="1">
        <v>0</v>
      </c>
      <c r="AP859" s="1">
        <v>17482</v>
      </c>
      <c r="AQ859" s="1">
        <v>18917</v>
      </c>
      <c r="AR859" s="1">
        <v>0</v>
      </c>
      <c r="AS859" s="1">
        <v>18917</v>
      </c>
      <c r="AT859" s="1">
        <v>0</v>
      </c>
      <c r="BA859" s="195"/>
      <c r="BB859" s="195"/>
      <c r="BC859" s="195"/>
      <c r="BD859" s="195"/>
      <c r="BE859" s="195"/>
      <c r="BF859" s="195"/>
      <c r="BG859" s="195"/>
      <c r="BH859" s="195"/>
      <c r="BI859" s="195"/>
    </row>
    <row r="860" spans="1:61" x14ac:dyDescent="0.25">
      <c r="A860" t="s">
        <v>343</v>
      </c>
      <c r="B860" t="s">
        <v>344</v>
      </c>
      <c r="C860" t="s">
        <v>1056</v>
      </c>
      <c r="D860" t="s">
        <v>1057</v>
      </c>
      <c r="E860" t="s">
        <v>1077</v>
      </c>
      <c r="F860" t="s">
        <v>1078</v>
      </c>
      <c r="G860" t="s">
        <v>1096</v>
      </c>
      <c r="H860" t="s">
        <v>1097</v>
      </c>
      <c r="I860" t="s">
        <v>1099</v>
      </c>
      <c r="J860" t="s">
        <v>853</v>
      </c>
      <c r="AG860" t="s">
        <v>876</v>
      </c>
      <c r="AH860" t="s">
        <v>877</v>
      </c>
      <c r="AI860" t="s">
        <v>353</v>
      </c>
      <c r="AJ860" t="s">
        <v>1099</v>
      </c>
      <c r="AK860" s="1">
        <v>287832.36</v>
      </c>
      <c r="AL860" s="1">
        <v>0</v>
      </c>
      <c r="AM860" s="1">
        <v>287832.36</v>
      </c>
      <c r="AN860" s="1">
        <v>144264.43</v>
      </c>
      <c r="AO860" s="1">
        <v>0</v>
      </c>
      <c r="AP860" s="1">
        <v>144264.43</v>
      </c>
      <c r="AQ860" s="1">
        <v>144612.68</v>
      </c>
      <c r="AR860" s="1">
        <v>0</v>
      </c>
      <c r="AS860" s="1">
        <v>144612.68</v>
      </c>
      <c r="AT860" s="1">
        <v>0</v>
      </c>
      <c r="BA860" s="195"/>
      <c r="BB860" s="195"/>
      <c r="BC860" s="195"/>
      <c r="BD860" s="195"/>
      <c r="BE860" s="195"/>
      <c r="BF860" s="195"/>
      <c r="BG860" s="195"/>
      <c r="BH860" s="195"/>
      <c r="BI860" s="195"/>
    </row>
    <row r="861" spans="1:61" x14ac:dyDescent="0.25">
      <c r="A861" t="s">
        <v>343</v>
      </c>
      <c r="B861" t="s">
        <v>344</v>
      </c>
      <c r="C861" t="s">
        <v>1056</v>
      </c>
      <c r="D861" t="s">
        <v>1057</v>
      </c>
      <c r="E861" t="s">
        <v>1077</v>
      </c>
      <c r="F861" t="s">
        <v>1078</v>
      </c>
      <c r="G861" t="s">
        <v>1096</v>
      </c>
      <c r="H861" t="s">
        <v>1097</v>
      </c>
      <c r="I861" t="s">
        <v>1099</v>
      </c>
      <c r="J861" t="s">
        <v>853</v>
      </c>
      <c r="AG861" t="s">
        <v>878</v>
      </c>
      <c r="AH861" t="s">
        <v>879</v>
      </c>
      <c r="AI861" t="s">
        <v>353</v>
      </c>
      <c r="AJ861" t="s">
        <v>1099</v>
      </c>
      <c r="AK861" s="1">
        <v>321213.71999999997</v>
      </c>
      <c r="AL861" s="1">
        <v>0</v>
      </c>
      <c r="AM861" s="1">
        <v>321213.71999999997</v>
      </c>
      <c r="AN861" s="1">
        <v>129265.78</v>
      </c>
      <c r="AO861" s="1">
        <v>0</v>
      </c>
      <c r="AP861" s="1">
        <v>129265.78</v>
      </c>
      <c r="AQ861" s="1">
        <v>97924.7</v>
      </c>
      <c r="AR861" s="1">
        <v>0</v>
      </c>
      <c r="AS861" s="1">
        <v>97924.7</v>
      </c>
      <c r="AT861" s="1">
        <v>0</v>
      </c>
      <c r="BA861" s="195"/>
      <c r="BB861" s="195"/>
      <c r="BC861" s="195"/>
      <c r="BD861" s="195"/>
      <c r="BE861" s="195"/>
      <c r="BF861" s="195"/>
      <c r="BG861" s="195"/>
      <c r="BH861" s="195"/>
      <c r="BI861" s="195"/>
    </row>
    <row r="862" spans="1:61" x14ac:dyDescent="0.25">
      <c r="A862" t="s">
        <v>343</v>
      </c>
      <c r="B862" t="s">
        <v>344</v>
      </c>
      <c r="C862" t="s">
        <v>1056</v>
      </c>
      <c r="D862" t="s">
        <v>1057</v>
      </c>
      <c r="E862" t="s">
        <v>1077</v>
      </c>
      <c r="F862" t="s">
        <v>1078</v>
      </c>
      <c r="G862" t="s">
        <v>1096</v>
      </c>
      <c r="H862" t="s">
        <v>1097</v>
      </c>
      <c r="I862" t="s">
        <v>1099</v>
      </c>
      <c r="J862" t="s">
        <v>853</v>
      </c>
      <c r="AG862" t="s">
        <v>880</v>
      </c>
      <c r="AH862" t="s">
        <v>881</v>
      </c>
      <c r="AI862" t="s">
        <v>353</v>
      </c>
      <c r="AJ862" t="s">
        <v>1099</v>
      </c>
      <c r="AK862" s="1">
        <v>20038.14</v>
      </c>
      <c r="AL862" s="1">
        <v>0</v>
      </c>
      <c r="AM862" s="1">
        <v>20038.14</v>
      </c>
      <c r="AN862" s="1">
        <v>6819.15</v>
      </c>
      <c r="AO862" s="1">
        <v>0</v>
      </c>
      <c r="AP862" s="1">
        <v>6819.15</v>
      </c>
      <c r="AQ862" s="1">
        <v>3619.23</v>
      </c>
      <c r="AR862" s="1">
        <v>0</v>
      </c>
      <c r="AS862" s="1">
        <v>3619.23</v>
      </c>
      <c r="AT862" s="1">
        <v>0</v>
      </c>
      <c r="BA862" s="195"/>
      <c r="BB862" s="195"/>
      <c r="BC862" s="195"/>
      <c r="BD862" s="195"/>
      <c r="BE862" s="195"/>
      <c r="BF862" s="195"/>
      <c r="BG862" s="195"/>
      <c r="BH862" s="195"/>
      <c r="BI862" s="195"/>
    </row>
    <row r="863" spans="1:61" x14ac:dyDescent="0.25">
      <c r="A863" t="s">
        <v>343</v>
      </c>
      <c r="B863" t="s">
        <v>344</v>
      </c>
      <c r="C863" t="s">
        <v>1056</v>
      </c>
      <c r="D863" t="s">
        <v>1057</v>
      </c>
      <c r="E863" t="s">
        <v>1077</v>
      </c>
      <c r="F863" t="s">
        <v>1078</v>
      </c>
      <c r="G863" t="s">
        <v>1096</v>
      </c>
      <c r="H863" t="s">
        <v>1097</v>
      </c>
      <c r="I863" t="s">
        <v>1099</v>
      </c>
      <c r="J863" t="s">
        <v>853</v>
      </c>
      <c r="AG863" t="s">
        <v>882</v>
      </c>
      <c r="AH863" t="s">
        <v>883</v>
      </c>
      <c r="AI863" t="s">
        <v>353</v>
      </c>
      <c r="AJ863" t="s">
        <v>1099</v>
      </c>
      <c r="AK863" s="1">
        <v>61316.6</v>
      </c>
      <c r="AL863" s="1">
        <v>0</v>
      </c>
      <c r="AM863" s="1">
        <v>61316.6</v>
      </c>
      <c r="AN863" s="1">
        <v>28810.91</v>
      </c>
      <c r="AO863" s="1">
        <v>0</v>
      </c>
      <c r="AP863" s="1">
        <v>28810.91</v>
      </c>
      <c r="AQ863" s="1">
        <v>26963.52</v>
      </c>
      <c r="AR863" s="1">
        <v>0</v>
      </c>
      <c r="AS863" s="1">
        <v>26963.52</v>
      </c>
      <c r="AT863" s="1">
        <v>0</v>
      </c>
      <c r="BA863" s="195"/>
      <c r="BB863" s="195"/>
      <c r="BC863" s="195"/>
      <c r="BD863" s="195"/>
      <c r="BE863" s="195"/>
      <c r="BF863" s="195"/>
      <c r="BG863" s="195"/>
      <c r="BH863" s="195"/>
      <c r="BI863" s="195"/>
    </row>
    <row r="864" spans="1:61" x14ac:dyDescent="0.25">
      <c r="A864" t="s">
        <v>343</v>
      </c>
      <c r="B864" t="s">
        <v>344</v>
      </c>
      <c r="C864" t="s">
        <v>1056</v>
      </c>
      <c r="D864" t="s">
        <v>1057</v>
      </c>
      <c r="E864" t="s">
        <v>1077</v>
      </c>
      <c r="F864" t="s">
        <v>1078</v>
      </c>
      <c r="G864" t="s">
        <v>1096</v>
      </c>
      <c r="H864" t="s">
        <v>1097</v>
      </c>
      <c r="I864" t="s">
        <v>1099</v>
      </c>
      <c r="J864" t="s">
        <v>853</v>
      </c>
      <c r="AG864" t="s">
        <v>884</v>
      </c>
      <c r="AH864" t="s">
        <v>885</v>
      </c>
      <c r="AI864" t="s">
        <v>353</v>
      </c>
      <c r="AJ864" t="s">
        <v>1099</v>
      </c>
      <c r="AK864" s="1">
        <v>28799.26</v>
      </c>
      <c r="AL864" s="1">
        <v>0</v>
      </c>
      <c r="AM864" s="1">
        <v>28799.26</v>
      </c>
      <c r="AN864" s="1">
        <v>15343.09</v>
      </c>
      <c r="AO864" s="1">
        <v>0</v>
      </c>
      <c r="AP864" s="1">
        <v>15343.09</v>
      </c>
      <c r="AQ864" s="1">
        <v>16286.55</v>
      </c>
      <c r="AR864" s="1">
        <v>0</v>
      </c>
      <c r="AS864" s="1">
        <v>16286.55</v>
      </c>
      <c r="AT864" s="1">
        <v>0</v>
      </c>
      <c r="BA864" s="195"/>
      <c r="BB864" s="195"/>
      <c r="BC864" s="195"/>
      <c r="BD864" s="195"/>
      <c r="BE864" s="195"/>
      <c r="BF864" s="195"/>
      <c r="BG864" s="195"/>
      <c r="BH864" s="195"/>
      <c r="BI864" s="195"/>
    </row>
    <row r="865" spans="1:61" x14ac:dyDescent="0.25">
      <c r="A865" t="s">
        <v>343</v>
      </c>
      <c r="B865" t="s">
        <v>344</v>
      </c>
      <c r="C865" t="s">
        <v>1056</v>
      </c>
      <c r="D865" t="s">
        <v>1057</v>
      </c>
      <c r="E865" t="s">
        <v>1077</v>
      </c>
      <c r="F865" t="s">
        <v>1078</v>
      </c>
      <c r="G865" t="s">
        <v>1096</v>
      </c>
      <c r="H865" t="s">
        <v>1097</v>
      </c>
      <c r="I865" t="s">
        <v>1099</v>
      </c>
      <c r="J865" t="s">
        <v>853</v>
      </c>
      <c r="AG865" t="s">
        <v>886</v>
      </c>
      <c r="AH865" t="s">
        <v>646</v>
      </c>
      <c r="AI865" t="s">
        <v>353</v>
      </c>
      <c r="AJ865" t="s">
        <v>1099</v>
      </c>
      <c r="AK865" s="1">
        <v>44021.14</v>
      </c>
      <c r="AL865" s="1">
        <v>0</v>
      </c>
      <c r="AM865" s="1">
        <v>44021.14</v>
      </c>
      <c r="AN865" s="1">
        <v>21139.37</v>
      </c>
      <c r="AO865" s="1">
        <v>0</v>
      </c>
      <c r="AP865" s="1">
        <v>21139.37</v>
      </c>
      <c r="AQ865" s="1">
        <v>20268.169999999998</v>
      </c>
      <c r="AR865" s="1">
        <v>0</v>
      </c>
      <c r="AS865" s="1">
        <v>20268.169999999998</v>
      </c>
      <c r="AT865" s="1">
        <v>0</v>
      </c>
      <c r="BA865" s="195"/>
      <c r="BB865" s="195"/>
      <c r="BC865" s="195"/>
      <c r="BD865" s="195"/>
      <c r="BE865" s="195"/>
      <c r="BF865" s="195"/>
      <c r="BG865" s="195"/>
      <c r="BH865" s="195"/>
      <c r="BI865" s="195"/>
    </row>
    <row r="866" spans="1:61" x14ac:dyDescent="0.25">
      <c r="A866" t="s">
        <v>343</v>
      </c>
      <c r="B866" t="s">
        <v>344</v>
      </c>
      <c r="C866" t="s">
        <v>1056</v>
      </c>
      <c r="D866" t="s">
        <v>1057</v>
      </c>
      <c r="E866" t="s">
        <v>1077</v>
      </c>
      <c r="F866" t="s">
        <v>1078</v>
      </c>
      <c r="G866" t="s">
        <v>1096</v>
      </c>
      <c r="H866" t="s">
        <v>1097</v>
      </c>
      <c r="I866" t="s">
        <v>1099</v>
      </c>
      <c r="J866" t="s">
        <v>853</v>
      </c>
      <c r="AG866" t="s">
        <v>887</v>
      </c>
      <c r="AH866" t="s">
        <v>659</v>
      </c>
      <c r="AI866" t="s">
        <v>353</v>
      </c>
      <c r="AJ866" t="s">
        <v>1099</v>
      </c>
      <c r="AK866" s="1">
        <v>25170</v>
      </c>
      <c r="AL866" s="1">
        <v>0</v>
      </c>
      <c r="AM866" s="1">
        <v>25170</v>
      </c>
      <c r="AN866" s="1">
        <v>11415</v>
      </c>
      <c r="AO866" s="1">
        <v>0</v>
      </c>
      <c r="AP866" s="1">
        <v>11415</v>
      </c>
      <c r="AQ866" s="1">
        <v>10245</v>
      </c>
      <c r="AR866" s="1">
        <v>0</v>
      </c>
      <c r="AS866" s="1">
        <v>10245</v>
      </c>
      <c r="AT866" s="1">
        <v>0</v>
      </c>
      <c r="BA866" s="195"/>
      <c r="BB866" s="195"/>
      <c r="BC866" s="195"/>
      <c r="BD866" s="195"/>
      <c r="BE866" s="195"/>
      <c r="BF866" s="195"/>
      <c r="BG866" s="195"/>
      <c r="BH866" s="195"/>
      <c r="BI866" s="195"/>
    </row>
    <row r="867" spans="1:61" x14ac:dyDescent="0.25">
      <c r="A867" t="s">
        <v>343</v>
      </c>
      <c r="B867" t="s">
        <v>344</v>
      </c>
      <c r="C867" t="s">
        <v>1056</v>
      </c>
      <c r="D867" t="s">
        <v>1057</v>
      </c>
      <c r="E867" t="s">
        <v>1077</v>
      </c>
      <c r="F867" t="s">
        <v>1078</v>
      </c>
      <c r="G867" t="s">
        <v>1096</v>
      </c>
      <c r="H867" t="s">
        <v>1097</v>
      </c>
      <c r="I867" t="s">
        <v>1099</v>
      </c>
      <c r="J867" t="s">
        <v>853</v>
      </c>
      <c r="AG867" t="s">
        <v>888</v>
      </c>
      <c r="AH867" t="s">
        <v>889</v>
      </c>
      <c r="AI867" t="s">
        <v>353</v>
      </c>
      <c r="AJ867" t="s">
        <v>1099</v>
      </c>
      <c r="AK867" s="1">
        <v>22824</v>
      </c>
      <c r="AL867" s="1">
        <v>0</v>
      </c>
      <c r="AM867" s="1">
        <v>22824</v>
      </c>
      <c r="AN867" s="1">
        <v>15412</v>
      </c>
      <c r="AO867" s="1">
        <v>0</v>
      </c>
      <c r="AP867" s="1">
        <v>15412</v>
      </c>
      <c r="AQ867" s="1">
        <v>16737</v>
      </c>
      <c r="AR867" s="1">
        <v>0</v>
      </c>
      <c r="AS867" s="1">
        <v>16737</v>
      </c>
      <c r="AT867" s="1">
        <v>0</v>
      </c>
      <c r="BA867" s="195"/>
      <c r="BB867" s="195"/>
      <c r="BC867" s="195"/>
      <c r="BD867" s="195"/>
      <c r="BE867" s="195"/>
      <c r="BF867" s="195"/>
      <c r="BG867" s="195"/>
      <c r="BH867" s="195"/>
      <c r="BI867" s="195"/>
    </row>
    <row r="868" spans="1:61" x14ac:dyDescent="0.25">
      <c r="A868" t="s">
        <v>343</v>
      </c>
      <c r="B868" t="s">
        <v>344</v>
      </c>
      <c r="C868" t="s">
        <v>1056</v>
      </c>
      <c r="D868" t="s">
        <v>1057</v>
      </c>
      <c r="E868" t="s">
        <v>1077</v>
      </c>
      <c r="F868" t="s">
        <v>1078</v>
      </c>
      <c r="G868" t="s">
        <v>1096</v>
      </c>
      <c r="H868" t="s">
        <v>1097</v>
      </c>
      <c r="I868" t="s">
        <v>1099</v>
      </c>
      <c r="J868" t="s">
        <v>853</v>
      </c>
      <c r="AG868" t="s">
        <v>890</v>
      </c>
      <c r="AH868" t="s">
        <v>697</v>
      </c>
      <c r="AI868" t="s">
        <v>353</v>
      </c>
      <c r="AJ868" t="s">
        <v>1099</v>
      </c>
      <c r="AK868" s="1">
        <v>6110</v>
      </c>
      <c r="AL868" s="1">
        <v>0</v>
      </c>
      <c r="AM868" s="1">
        <v>6110</v>
      </c>
      <c r="AN868" s="1">
        <v>3315</v>
      </c>
      <c r="AO868" s="1">
        <v>0</v>
      </c>
      <c r="AP868" s="1">
        <v>3315</v>
      </c>
      <c r="AQ868" s="1">
        <v>3575</v>
      </c>
      <c r="AR868" s="1">
        <v>0</v>
      </c>
      <c r="AS868" s="1">
        <v>3575</v>
      </c>
      <c r="AT868" s="1">
        <v>0</v>
      </c>
      <c r="BA868" s="195"/>
      <c r="BB868" s="195"/>
      <c r="BC868" s="195"/>
      <c r="BD868" s="195"/>
      <c r="BE868" s="195"/>
      <c r="BF868" s="195"/>
      <c r="BG868" s="195"/>
      <c r="BH868" s="195"/>
      <c r="BI868" s="195"/>
    </row>
    <row r="869" spans="1:61" x14ac:dyDescent="0.25">
      <c r="A869" t="s">
        <v>343</v>
      </c>
      <c r="B869" t="s">
        <v>344</v>
      </c>
      <c r="C869" t="s">
        <v>1056</v>
      </c>
      <c r="D869" t="s">
        <v>1057</v>
      </c>
      <c r="E869" t="s">
        <v>1077</v>
      </c>
      <c r="F869" t="s">
        <v>1078</v>
      </c>
      <c r="G869" t="s">
        <v>1096</v>
      </c>
      <c r="H869" t="s">
        <v>1097</v>
      </c>
      <c r="I869" t="s">
        <v>1099</v>
      </c>
      <c r="J869" t="s">
        <v>853</v>
      </c>
      <c r="AG869" t="s">
        <v>891</v>
      </c>
      <c r="AH869" t="s">
        <v>892</v>
      </c>
      <c r="AI869" t="s">
        <v>353</v>
      </c>
      <c r="AJ869" t="s">
        <v>1099</v>
      </c>
      <c r="AK869" s="1">
        <v>129588</v>
      </c>
      <c r="AL869" s="1">
        <v>0</v>
      </c>
      <c r="AM869" s="1">
        <v>129588</v>
      </c>
      <c r="AN869" s="1">
        <v>114106</v>
      </c>
      <c r="AO869" s="1">
        <v>0</v>
      </c>
      <c r="AP869" s="1">
        <v>114106</v>
      </c>
      <c r="AQ869" s="1">
        <v>163418</v>
      </c>
      <c r="AR869" s="1">
        <v>0</v>
      </c>
      <c r="AS869" s="1">
        <v>163418</v>
      </c>
      <c r="AT869" s="1">
        <v>0</v>
      </c>
      <c r="BA869" s="195"/>
      <c r="BB869" s="195"/>
      <c r="BC869" s="195"/>
      <c r="BD869" s="195"/>
      <c r="BE869" s="195"/>
      <c r="BF869" s="195"/>
      <c r="BG869" s="195"/>
      <c r="BH869" s="195"/>
      <c r="BI869" s="195"/>
    </row>
    <row r="870" spans="1:61" x14ac:dyDescent="0.25">
      <c r="A870" t="s">
        <v>343</v>
      </c>
      <c r="B870" t="s">
        <v>344</v>
      </c>
      <c r="C870" t="s">
        <v>1056</v>
      </c>
      <c r="D870" t="s">
        <v>1057</v>
      </c>
      <c r="E870" t="s">
        <v>1077</v>
      </c>
      <c r="F870" t="s">
        <v>1078</v>
      </c>
      <c r="G870" t="s">
        <v>1096</v>
      </c>
      <c r="H870" t="s">
        <v>1097</v>
      </c>
      <c r="I870" t="s">
        <v>1099</v>
      </c>
      <c r="J870" t="s">
        <v>853</v>
      </c>
      <c r="AG870" t="s">
        <v>893</v>
      </c>
      <c r="AH870" t="s">
        <v>894</v>
      </c>
      <c r="AI870" t="s">
        <v>353</v>
      </c>
      <c r="AJ870" t="s">
        <v>1099</v>
      </c>
      <c r="AK870" s="1">
        <v>9040.02</v>
      </c>
      <c r="AL870" s="1">
        <v>0</v>
      </c>
      <c r="AM870" s="1">
        <v>9040.02</v>
      </c>
      <c r="AN870" s="1">
        <v>4520.01</v>
      </c>
      <c r="AO870" s="1">
        <v>0</v>
      </c>
      <c r="AP870" s="1">
        <v>4520.01</v>
      </c>
      <c r="AQ870" s="1">
        <v>4520.01</v>
      </c>
      <c r="AR870" s="1">
        <v>0</v>
      </c>
      <c r="AS870" s="1">
        <v>4520.01</v>
      </c>
      <c r="AT870" s="1">
        <v>0</v>
      </c>
      <c r="BA870" s="195"/>
      <c r="BB870" s="195"/>
      <c r="BC870" s="195"/>
      <c r="BD870" s="195"/>
      <c r="BE870" s="195"/>
      <c r="BF870" s="195"/>
      <c r="BG870" s="195"/>
      <c r="BH870" s="195"/>
      <c r="BI870" s="195"/>
    </row>
    <row r="871" spans="1:61" x14ac:dyDescent="0.25">
      <c r="A871" t="s">
        <v>343</v>
      </c>
      <c r="B871" t="s">
        <v>344</v>
      </c>
      <c r="C871" t="s">
        <v>1056</v>
      </c>
      <c r="D871" t="s">
        <v>1057</v>
      </c>
      <c r="E871" t="s">
        <v>1077</v>
      </c>
      <c r="F871" t="s">
        <v>1078</v>
      </c>
      <c r="G871" t="s">
        <v>1096</v>
      </c>
      <c r="H871" t="s">
        <v>1097</v>
      </c>
      <c r="I871" t="s">
        <v>1099</v>
      </c>
      <c r="J871" t="s">
        <v>853</v>
      </c>
      <c r="AG871" t="s">
        <v>895</v>
      </c>
      <c r="AH871" t="s">
        <v>894</v>
      </c>
      <c r="AI871" t="s">
        <v>353</v>
      </c>
      <c r="AJ871" t="s">
        <v>1099</v>
      </c>
      <c r="AK871" s="1">
        <v>928553.18</v>
      </c>
      <c r="AL871" s="1">
        <v>0</v>
      </c>
      <c r="AM871" s="1">
        <v>928553.18</v>
      </c>
      <c r="AN871" s="1">
        <v>379276.59</v>
      </c>
      <c r="AO871" s="1">
        <v>0</v>
      </c>
      <c r="AP871" s="1">
        <v>379276.59</v>
      </c>
      <c r="AQ871" s="1">
        <v>359503.28</v>
      </c>
      <c r="AR871" s="1">
        <v>0</v>
      </c>
      <c r="AS871" s="1">
        <v>359503.28</v>
      </c>
      <c r="AT871" s="1">
        <v>0</v>
      </c>
      <c r="BA871" s="195"/>
      <c r="BB871" s="195"/>
      <c r="BC871" s="195"/>
      <c r="BD871" s="195"/>
      <c r="BE871" s="195"/>
      <c r="BF871" s="195"/>
      <c r="BG871" s="195"/>
      <c r="BH871" s="195"/>
      <c r="BI871" s="195"/>
    </row>
    <row r="872" spans="1:61" x14ac:dyDescent="0.25">
      <c r="A872" t="s">
        <v>343</v>
      </c>
      <c r="B872" t="s">
        <v>344</v>
      </c>
      <c r="C872" t="s">
        <v>1056</v>
      </c>
      <c r="D872" t="s">
        <v>1057</v>
      </c>
      <c r="E872" t="s">
        <v>1077</v>
      </c>
      <c r="F872" t="s">
        <v>1078</v>
      </c>
      <c r="G872" t="s">
        <v>1096</v>
      </c>
      <c r="H872" t="s">
        <v>1097</v>
      </c>
      <c r="I872" t="s">
        <v>1099</v>
      </c>
      <c r="J872" t="s">
        <v>853</v>
      </c>
      <c r="AG872" t="s">
        <v>448</v>
      </c>
      <c r="AH872" t="s">
        <v>449</v>
      </c>
      <c r="AI872" t="s">
        <v>353</v>
      </c>
      <c r="AJ872" t="s">
        <v>1099</v>
      </c>
      <c r="AK872" s="1">
        <v>0</v>
      </c>
      <c r="AL872" s="1">
        <v>0</v>
      </c>
      <c r="AM872" s="1">
        <v>0</v>
      </c>
      <c r="AN872" s="1">
        <v>0</v>
      </c>
      <c r="AO872" s="1">
        <v>0</v>
      </c>
      <c r="AP872" s="1">
        <v>0</v>
      </c>
      <c r="AQ872" s="1">
        <v>1444.34</v>
      </c>
      <c r="AR872" s="1">
        <v>0</v>
      </c>
      <c r="AS872" s="1">
        <v>1444.34</v>
      </c>
      <c r="AT872" s="1">
        <v>0</v>
      </c>
      <c r="BA872" s="195"/>
      <c r="BB872" s="195"/>
      <c r="BC872" s="195"/>
      <c r="BD872" s="195"/>
      <c r="BE872" s="195"/>
      <c r="BF872" s="195"/>
      <c r="BG872" s="195"/>
      <c r="BH872" s="195"/>
      <c r="BI872" s="195"/>
    </row>
    <row r="873" spans="1:61" x14ac:dyDescent="0.25">
      <c r="A873" t="s">
        <v>343</v>
      </c>
      <c r="B873" t="s">
        <v>344</v>
      </c>
      <c r="C873" t="s">
        <v>1056</v>
      </c>
      <c r="D873" t="s">
        <v>1057</v>
      </c>
      <c r="E873" t="s">
        <v>1077</v>
      </c>
      <c r="F873" t="s">
        <v>1078</v>
      </c>
      <c r="G873" t="s">
        <v>1096</v>
      </c>
      <c r="H873" t="s">
        <v>1097</v>
      </c>
      <c r="I873" t="s">
        <v>1099</v>
      </c>
      <c r="J873" t="s">
        <v>853</v>
      </c>
      <c r="AG873" t="s">
        <v>896</v>
      </c>
      <c r="AH873" t="s">
        <v>897</v>
      </c>
      <c r="AI873" t="s">
        <v>353</v>
      </c>
      <c r="AJ873" t="s">
        <v>1099</v>
      </c>
      <c r="AK873" s="1">
        <v>1219.28</v>
      </c>
      <c r="AL873" s="1">
        <v>0</v>
      </c>
      <c r="AM873" s="1">
        <v>1219.28</v>
      </c>
      <c r="AN873" s="1">
        <v>892.32</v>
      </c>
      <c r="AO873" s="1">
        <v>0</v>
      </c>
      <c r="AP873" s="1">
        <v>892.32</v>
      </c>
      <c r="AQ873" s="1">
        <v>1175</v>
      </c>
      <c r="AR873" s="1">
        <v>0</v>
      </c>
      <c r="AS873" s="1">
        <v>1175</v>
      </c>
      <c r="AT873" s="1">
        <v>0</v>
      </c>
      <c r="BA873" s="195"/>
      <c r="BB873" s="195"/>
      <c r="BC873" s="195"/>
      <c r="BD873" s="195"/>
      <c r="BE873" s="195"/>
      <c r="BF873" s="195"/>
      <c r="BG873" s="195"/>
      <c r="BH873" s="195"/>
      <c r="BI873" s="195"/>
    </row>
    <row r="874" spans="1:61" x14ac:dyDescent="0.25">
      <c r="A874" t="s">
        <v>343</v>
      </c>
      <c r="B874" t="s">
        <v>344</v>
      </c>
      <c r="C874" t="s">
        <v>1056</v>
      </c>
      <c r="D874" t="s">
        <v>1057</v>
      </c>
      <c r="E874" t="s">
        <v>1077</v>
      </c>
      <c r="F874" t="s">
        <v>1078</v>
      </c>
      <c r="G874" t="s">
        <v>1096</v>
      </c>
      <c r="H874" t="s">
        <v>1097</v>
      </c>
      <c r="I874" t="s">
        <v>1099</v>
      </c>
      <c r="J874" t="s">
        <v>853</v>
      </c>
      <c r="AG874" t="s">
        <v>898</v>
      </c>
      <c r="AH874" t="s">
        <v>648</v>
      </c>
      <c r="AI874" t="s">
        <v>353</v>
      </c>
      <c r="AJ874" t="s">
        <v>1099</v>
      </c>
      <c r="AK874" s="1">
        <v>-14734</v>
      </c>
      <c r="AL874" s="1">
        <v>0</v>
      </c>
      <c r="AM874" s="1">
        <v>-14734</v>
      </c>
      <c r="AN874" s="1">
        <v>0</v>
      </c>
      <c r="AO874" s="1">
        <v>0</v>
      </c>
      <c r="AP874" s="1">
        <v>0</v>
      </c>
      <c r="AQ874" s="1">
        <v>7367</v>
      </c>
      <c r="AR874" s="1">
        <v>0</v>
      </c>
      <c r="AS874" s="1">
        <v>7367</v>
      </c>
      <c r="AT874" s="1">
        <v>0</v>
      </c>
      <c r="BA874" s="195"/>
      <c r="BB874" s="195"/>
      <c r="BC874" s="195"/>
      <c r="BD874" s="195"/>
      <c r="BE874" s="195"/>
      <c r="BF874" s="195"/>
      <c r="BG874" s="195"/>
      <c r="BH874" s="195"/>
      <c r="BI874" s="195"/>
    </row>
    <row r="875" spans="1:61" x14ac:dyDescent="0.25">
      <c r="A875" t="s">
        <v>343</v>
      </c>
      <c r="B875" t="s">
        <v>344</v>
      </c>
      <c r="C875" t="s">
        <v>1056</v>
      </c>
      <c r="D875" t="s">
        <v>1057</v>
      </c>
      <c r="E875" t="s">
        <v>1077</v>
      </c>
      <c r="F875" t="s">
        <v>1078</v>
      </c>
      <c r="G875" t="s">
        <v>1096</v>
      </c>
      <c r="H875" t="s">
        <v>1097</v>
      </c>
      <c r="I875" t="s">
        <v>1100</v>
      </c>
      <c r="J875" t="s">
        <v>903</v>
      </c>
      <c r="AG875" t="s">
        <v>904</v>
      </c>
      <c r="AH875" t="s">
        <v>905</v>
      </c>
      <c r="AI875" t="s">
        <v>353</v>
      </c>
      <c r="AJ875" t="s">
        <v>1100</v>
      </c>
      <c r="AK875" s="1">
        <v>2748189.66</v>
      </c>
      <c r="AL875" s="1">
        <v>0</v>
      </c>
      <c r="AM875" s="1">
        <v>2748189.66</v>
      </c>
      <c r="AN875" s="1">
        <v>842986.03</v>
      </c>
      <c r="AO875" s="1">
        <v>0</v>
      </c>
      <c r="AP875" s="1">
        <v>842986.03</v>
      </c>
      <c r="AQ875" s="1">
        <v>311877.23</v>
      </c>
      <c r="AR875" s="1">
        <v>0</v>
      </c>
      <c r="AS875" s="1">
        <v>311877.23</v>
      </c>
      <c r="AT875" s="1">
        <v>0</v>
      </c>
      <c r="BA875" s="195"/>
      <c r="BB875" s="195"/>
      <c r="BC875" s="195"/>
      <c r="BD875" s="195"/>
      <c r="BE875" s="195"/>
      <c r="BF875" s="195"/>
      <c r="BG875" s="195"/>
      <c r="BH875" s="195"/>
      <c r="BI875" s="195"/>
    </row>
    <row r="876" spans="1:61" x14ac:dyDescent="0.25">
      <c r="A876" t="s">
        <v>343</v>
      </c>
      <c r="B876" t="s">
        <v>344</v>
      </c>
      <c r="C876" t="s">
        <v>1056</v>
      </c>
      <c r="D876" t="s">
        <v>1057</v>
      </c>
      <c r="E876" t="s">
        <v>1077</v>
      </c>
      <c r="F876" t="s">
        <v>1078</v>
      </c>
      <c r="G876" t="s">
        <v>1101</v>
      </c>
      <c r="H876" t="s">
        <v>68</v>
      </c>
      <c r="I876" t="s">
        <v>1102</v>
      </c>
      <c r="J876" t="s">
        <v>70</v>
      </c>
      <c r="AG876" t="s">
        <v>408</v>
      </c>
      <c r="AH876" t="s">
        <v>409</v>
      </c>
      <c r="AI876" t="s">
        <v>353</v>
      </c>
      <c r="AJ876" t="s">
        <v>1102</v>
      </c>
      <c r="AK876" s="1">
        <v>63147.26</v>
      </c>
      <c r="AL876" s="1">
        <v>0</v>
      </c>
      <c r="AM876" s="1">
        <v>63147.26</v>
      </c>
      <c r="AN876" s="1">
        <v>22814</v>
      </c>
      <c r="AO876" s="1">
        <v>0</v>
      </c>
      <c r="AP876" s="1">
        <v>22814</v>
      </c>
      <c r="AQ876" s="1">
        <v>13090</v>
      </c>
      <c r="AR876" s="1">
        <v>0</v>
      </c>
      <c r="AS876" s="1">
        <v>13090</v>
      </c>
      <c r="AT876" s="1">
        <v>0</v>
      </c>
      <c r="BA876" s="195"/>
      <c r="BB876" s="195"/>
      <c r="BC876" s="195"/>
      <c r="BD876" s="195"/>
      <c r="BE876" s="195"/>
      <c r="BF876" s="195"/>
      <c r="BG876" s="195"/>
      <c r="BH876" s="195"/>
      <c r="BI876" s="195"/>
    </row>
    <row r="877" spans="1:61" x14ac:dyDescent="0.25">
      <c r="A877" t="s">
        <v>343</v>
      </c>
      <c r="B877" t="s">
        <v>344</v>
      </c>
      <c r="C877" t="s">
        <v>1056</v>
      </c>
      <c r="D877" t="s">
        <v>1057</v>
      </c>
      <c r="E877" t="s">
        <v>1077</v>
      </c>
      <c r="F877" t="s">
        <v>1078</v>
      </c>
      <c r="G877" t="s">
        <v>1101</v>
      </c>
      <c r="H877" t="s">
        <v>68</v>
      </c>
      <c r="I877" t="s">
        <v>1103</v>
      </c>
      <c r="J877" t="s">
        <v>71</v>
      </c>
      <c r="AG877" t="s">
        <v>411</v>
      </c>
      <c r="AH877" t="s">
        <v>412</v>
      </c>
      <c r="AI877" t="s">
        <v>353</v>
      </c>
      <c r="AJ877" t="s">
        <v>1103</v>
      </c>
      <c r="AK877" s="1">
        <v>92599.02</v>
      </c>
      <c r="AL877" s="1">
        <v>0</v>
      </c>
      <c r="AM877" s="1">
        <v>92599.02</v>
      </c>
      <c r="AN877" s="1">
        <v>55261.51</v>
      </c>
      <c r="AO877" s="1">
        <v>0</v>
      </c>
      <c r="AP877" s="1">
        <v>55261.51</v>
      </c>
      <c r="AQ877" s="1">
        <v>95534.53</v>
      </c>
      <c r="AR877" s="1">
        <v>0</v>
      </c>
      <c r="AS877" s="1">
        <v>95534.53</v>
      </c>
      <c r="AT877" s="1">
        <v>0</v>
      </c>
      <c r="BA877" s="195"/>
      <c r="BB877" s="195"/>
      <c r="BC877" s="195"/>
      <c r="BD877" s="195"/>
      <c r="BE877" s="195"/>
      <c r="BF877" s="195"/>
      <c r="BG877" s="195"/>
      <c r="BH877" s="195"/>
      <c r="BI877" s="195"/>
    </row>
    <row r="878" spans="1:61" x14ac:dyDescent="0.25">
      <c r="A878" t="s">
        <v>343</v>
      </c>
      <c r="B878" t="s">
        <v>344</v>
      </c>
      <c r="C878" t="s">
        <v>1056</v>
      </c>
      <c r="D878" t="s">
        <v>1057</v>
      </c>
      <c r="E878" t="s">
        <v>1077</v>
      </c>
      <c r="F878" t="s">
        <v>1078</v>
      </c>
      <c r="G878" t="s">
        <v>1101</v>
      </c>
      <c r="H878" t="s">
        <v>68</v>
      </c>
      <c r="I878" t="s">
        <v>1103</v>
      </c>
      <c r="J878" t="s">
        <v>71</v>
      </c>
      <c r="AG878" t="s">
        <v>413</v>
      </c>
      <c r="AH878" t="s">
        <v>414</v>
      </c>
      <c r="AI878" t="s">
        <v>353</v>
      </c>
      <c r="AJ878" t="s">
        <v>1103</v>
      </c>
      <c r="AK878" s="1">
        <v>-26195.84</v>
      </c>
      <c r="AL878" s="1">
        <v>26195.84</v>
      </c>
      <c r="AM878" s="1">
        <v>-52391.68</v>
      </c>
      <c r="AN878" s="1">
        <v>-6097.92</v>
      </c>
      <c r="AO878" s="1">
        <v>6097.92</v>
      </c>
      <c r="AP878" s="1">
        <v>-12195.84</v>
      </c>
      <c r="AQ878" s="1">
        <v>0</v>
      </c>
      <c r="AR878" s="1">
        <v>0</v>
      </c>
      <c r="AS878" s="1">
        <v>0</v>
      </c>
      <c r="AT878" s="1">
        <v>0</v>
      </c>
      <c r="BA878" s="195"/>
      <c r="BB878" s="195"/>
      <c r="BC878" s="195"/>
      <c r="BD878" s="195"/>
      <c r="BE878" s="195"/>
      <c r="BF878" s="195"/>
      <c r="BG878" s="195"/>
      <c r="BH878" s="195"/>
      <c r="BI878" s="195"/>
    </row>
    <row r="879" spans="1:61" x14ac:dyDescent="0.25">
      <c r="A879" t="s">
        <v>343</v>
      </c>
      <c r="B879" t="s">
        <v>344</v>
      </c>
      <c r="C879" t="s">
        <v>1056</v>
      </c>
      <c r="D879" t="s">
        <v>1057</v>
      </c>
      <c r="E879" t="s">
        <v>1077</v>
      </c>
      <c r="F879" t="s">
        <v>1078</v>
      </c>
      <c r="G879" t="s">
        <v>1104</v>
      </c>
      <c r="H879" t="s">
        <v>330</v>
      </c>
      <c r="AG879" t="s">
        <v>465</v>
      </c>
      <c r="AH879" t="s">
        <v>466</v>
      </c>
      <c r="AI879" t="s">
        <v>353</v>
      </c>
      <c r="AJ879" t="s">
        <v>1104</v>
      </c>
      <c r="AK879" s="1">
        <v>225199.88</v>
      </c>
      <c r="AL879" s="1">
        <v>0</v>
      </c>
      <c r="AM879" s="1">
        <v>225199.88</v>
      </c>
      <c r="AN879" s="1">
        <v>53639.94</v>
      </c>
      <c r="AO879" s="1">
        <v>0</v>
      </c>
      <c r="AP879" s="1">
        <v>53639.94</v>
      </c>
      <c r="AQ879" s="1">
        <v>33355.089999999997</v>
      </c>
      <c r="AR879" s="1">
        <v>0</v>
      </c>
      <c r="AS879" s="1">
        <v>33355.089999999997</v>
      </c>
      <c r="AT879" s="1">
        <v>0</v>
      </c>
      <c r="BA879" s="195"/>
      <c r="BB879" s="195"/>
      <c r="BC879" s="195"/>
      <c r="BD879" s="195"/>
      <c r="BE879" s="195"/>
      <c r="BF879" s="195"/>
      <c r="BG879" s="195"/>
      <c r="BH879" s="195"/>
      <c r="BI879" s="195"/>
    </row>
    <row r="880" spans="1:61" x14ac:dyDescent="0.25">
      <c r="A880" t="s">
        <v>343</v>
      </c>
      <c r="B880" t="s">
        <v>344</v>
      </c>
      <c r="C880" t="s">
        <v>1056</v>
      </c>
      <c r="D880" t="s">
        <v>1057</v>
      </c>
      <c r="E880" t="s">
        <v>1077</v>
      </c>
      <c r="F880" t="s">
        <v>1078</v>
      </c>
      <c r="G880" t="s">
        <v>1104</v>
      </c>
      <c r="H880" t="s">
        <v>330</v>
      </c>
      <c r="AG880" t="s">
        <v>467</v>
      </c>
      <c r="AH880" t="s">
        <v>468</v>
      </c>
      <c r="AI880" t="s">
        <v>353</v>
      </c>
      <c r="AJ880" t="s">
        <v>1104</v>
      </c>
      <c r="AK880" s="1">
        <v>1938975.12</v>
      </c>
      <c r="AL880" s="1">
        <v>0</v>
      </c>
      <c r="AM880" s="1">
        <v>1938975.12</v>
      </c>
      <c r="AN880" s="1">
        <v>160.1</v>
      </c>
      <c r="AO880" s="1">
        <v>0</v>
      </c>
      <c r="AP880" s="1">
        <v>160.1</v>
      </c>
      <c r="AQ880" s="1">
        <v>160.1</v>
      </c>
      <c r="AR880" s="1">
        <v>0</v>
      </c>
      <c r="AS880" s="1">
        <v>160.1</v>
      </c>
      <c r="AT880" s="1">
        <v>0</v>
      </c>
      <c r="BA880" s="195"/>
      <c r="BB880" s="195"/>
      <c r="BC880" s="195"/>
      <c r="BD880" s="195"/>
      <c r="BE880" s="195"/>
      <c r="BF880" s="195"/>
      <c r="BG880" s="195"/>
      <c r="BH880" s="195"/>
      <c r="BI880" s="195"/>
    </row>
    <row r="881" spans="1:61" x14ac:dyDescent="0.25">
      <c r="A881" t="s">
        <v>343</v>
      </c>
      <c r="B881" t="s">
        <v>344</v>
      </c>
      <c r="C881" t="s">
        <v>1056</v>
      </c>
      <c r="D881" t="s">
        <v>1057</v>
      </c>
      <c r="E881" t="s">
        <v>1077</v>
      </c>
      <c r="F881" t="s">
        <v>1078</v>
      </c>
      <c r="G881" t="s">
        <v>1104</v>
      </c>
      <c r="H881" t="s">
        <v>330</v>
      </c>
      <c r="AG881" t="s">
        <v>469</v>
      </c>
      <c r="AH881" t="s">
        <v>470</v>
      </c>
      <c r="AI881" t="s">
        <v>353</v>
      </c>
      <c r="AJ881" t="s">
        <v>1104</v>
      </c>
      <c r="AK881" s="1">
        <v>484733.96</v>
      </c>
      <c r="AL881" s="1">
        <v>0</v>
      </c>
      <c r="AM881" s="1">
        <v>484733.96</v>
      </c>
      <c r="AN881" s="1">
        <v>290028.57</v>
      </c>
      <c r="AO881" s="1">
        <v>0</v>
      </c>
      <c r="AP881" s="1">
        <v>290028.57</v>
      </c>
      <c r="AQ881" s="1">
        <v>337690.16</v>
      </c>
      <c r="AR881" s="1">
        <v>0</v>
      </c>
      <c r="AS881" s="1">
        <v>337690.16</v>
      </c>
      <c r="AT881" s="1">
        <v>0</v>
      </c>
      <c r="BA881" s="195"/>
      <c r="BB881" s="195"/>
      <c r="BC881" s="195"/>
      <c r="BD881" s="195"/>
      <c r="BE881" s="195"/>
      <c r="BF881" s="195"/>
      <c r="BG881" s="195"/>
      <c r="BH881" s="195"/>
      <c r="BI881" s="195"/>
    </row>
    <row r="882" spans="1:61" x14ac:dyDescent="0.25">
      <c r="A882" t="s">
        <v>343</v>
      </c>
      <c r="B882" t="s">
        <v>344</v>
      </c>
      <c r="C882" t="s">
        <v>1056</v>
      </c>
      <c r="D882" t="s">
        <v>1057</v>
      </c>
      <c r="E882" t="s">
        <v>1077</v>
      </c>
      <c r="F882" t="s">
        <v>1078</v>
      </c>
      <c r="G882" t="s">
        <v>1104</v>
      </c>
      <c r="H882" t="s">
        <v>330</v>
      </c>
      <c r="AG882" t="s">
        <v>471</v>
      </c>
      <c r="AH882" t="s">
        <v>472</v>
      </c>
      <c r="AI882" t="s">
        <v>353</v>
      </c>
      <c r="AJ882" t="s">
        <v>1104</v>
      </c>
      <c r="AK882" s="1">
        <v>0</v>
      </c>
      <c r="AL882" s="1">
        <v>0</v>
      </c>
      <c r="AM882" s="1">
        <v>0</v>
      </c>
      <c r="AN882" s="1">
        <v>2619.91</v>
      </c>
      <c r="AO882" s="1">
        <v>0</v>
      </c>
      <c r="AP882" s="1">
        <v>2619.91</v>
      </c>
      <c r="AQ882" s="1">
        <v>103774.64</v>
      </c>
      <c r="AR882" s="1">
        <v>0</v>
      </c>
      <c r="AS882" s="1">
        <v>103774.64</v>
      </c>
      <c r="AT882" s="1">
        <v>0</v>
      </c>
      <c r="BA882" s="195"/>
      <c r="BB882" s="195"/>
      <c r="BC882" s="195"/>
      <c r="BD882" s="195"/>
      <c r="BE882" s="195"/>
      <c r="BF882" s="195"/>
      <c r="BG882" s="195"/>
      <c r="BH882" s="195"/>
      <c r="BI882" s="195"/>
    </row>
    <row r="883" spans="1:61" x14ac:dyDescent="0.25">
      <c r="A883" t="s">
        <v>343</v>
      </c>
      <c r="B883" t="s">
        <v>344</v>
      </c>
      <c r="C883" t="s">
        <v>1056</v>
      </c>
      <c r="D883" t="s">
        <v>1057</v>
      </c>
      <c r="E883" t="s">
        <v>1077</v>
      </c>
      <c r="F883" t="s">
        <v>1078</v>
      </c>
      <c r="G883" t="s">
        <v>1104</v>
      </c>
      <c r="H883" t="s">
        <v>330</v>
      </c>
      <c r="AG883" t="s">
        <v>473</v>
      </c>
      <c r="AH883" t="s">
        <v>474</v>
      </c>
      <c r="AI883" t="s">
        <v>353</v>
      </c>
      <c r="AJ883" t="s">
        <v>1104</v>
      </c>
      <c r="AK883" s="1">
        <v>329.7</v>
      </c>
      <c r="AL883" s="1">
        <v>0</v>
      </c>
      <c r="AM883" s="1">
        <v>329.7</v>
      </c>
      <c r="AN883" s="1">
        <v>74.88</v>
      </c>
      <c r="AO883" s="1">
        <v>0</v>
      </c>
      <c r="AP883" s="1">
        <v>74.88</v>
      </c>
      <c r="AQ883" s="1">
        <v>0</v>
      </c>
      <c r="AR883" s="1">
        <v>0</v>
      </c>
      <c r="AS883" s="1">
        <v>0</v>
      </c>
      <c r="AT883" s="1">
        <v>0</v>
      </c>
      <c r="BA883" s="195"/>
      <c r="BB883" s="195"/>
      <c r="BC883" s="195"/>
      <c r="BD883" s="195"/>
      <c r="BE883" s="195"/>
      <c r="BF883" s="195"/>
      <c r="BG883" s="195"/>
      <c r="BH883" s="195"/>
      <c r="BI883" s="195"/>
    </row>
    <row r="884" spans="1:61" x14ac:dyDescent="0.25">
      <c r="A884" t="s">
        <v>343</v>
      </c>
      <c r="B884" t="s">
        <v>344</v>
      </c>
      <c r="C884" t="s">
        <v>1056</v>
      </c>
      <c r="D884" t="s">
        <v>1057</v>
      </c>
      <c r="E884" t="s">
        <v>1077</v>
      </c>
      <c r="F884" t="s">
        <v>1078</v>
      </c>
      <c r="G884" t="s">
        <v>1104</v>
      </c>
      <c r="H884" t="s">
        <v>330</v>
      </c>
      <c r="AG884" t="s">
        <v>475</v>
      </c>
      <c r="AH884" t="s">
        <v>476</v>
      </c>
      <c r="AI884" t="s">
        <v>353</v>
      </c>
      <c r="AJ884" t="s">
        <v>1104</v>
      </c>
      <c r="AK884" s="1">
        <v>22392.880000000001</v>
      </c>
      <c r="AL884" s="1">
        <v>0</v>
      </c>
      <c r="AM884" s="1">
        <v>22392.880000000001</v>
      </c>
      <c r="AN884" s="1">
        <v>2197.44</v>
      </c>
      <c r="AO884" s="1">
        <v>0</v>
      </c>
      <c r="AP884" s="1">
        <v>2197.44</v>
      </c>
      <c r="AQ884" s="1">
        <v>1905.34</v>
      </c>
      <c r="AR884" s="1">
        <v>0</v>
      </c>
      <c r="AS884" s="1">
        <v>1905.34</v>
      </c>
      <c r="AT884" s="1">
        <v>0</v>
      </c>
      <c r="BA884" s="195"/>
      <c r="BB884" s="195"/>
      <c r="BC884" s="195"/>
      <c r="BD884" s="195"/>
      <c r="BE884" s="195"/>
      <c r="BF884" s="195"/>
      <c r="BG884" s="195"/>
      <c r="BH884" s="195"/>
      <c r="BI884" s="195"/>
    </row>
    <row r="885" spans="1:61" x14ac:dyDescent="0.25">
      <c r="A885" t="s">
        <v>343</v>
      </c>
      <c r="B885" t="s">
        <v>344</v>
      </c>
      <c r="C885" t="s">
        <v>1056</v>
      </c>
      <c r="D885" t="s">
        <v>1057</v>
      </c>
      <c r="E885" t="s">
        <v>1077</v>
      </c>
      <c r="F885" t="s">
        <v>1078</v>
      </c>
      <c r="G885" t="s">
        <v>1104</v>
      </c>
      <c r="H885" t="s">
        <v>330</v>
      </c>
      <c r="AG885" t="s">
        <v>477</v>
      </c>
      <c r="AH885" t="s">
        <v>478</v>
      </c>
      <c r="AI885" t="s">
        <v>353</v>
      </c>
      <c r="AJ885" t="s">
        <v>1104</v>
      </c>
      <c r="AK885" s="1">
        <v>191.48</v>
      </c>
      <c r="AL885" s="1">
        <v>0</v>
      </c>
      <c r="AM885" s="1">
        <v>191.48</v>
      </c>
      <c r="AN885" s="1">
        <v>71.16</v>
      </c>
      <c r="AO885" s="1">
        <v>0</v>
      </c>
      <c r="AP885" s="1">
        <v>71.16</v>
      </c>
      <c r="AQ885" s="1">
        <v>46.58</v>
      </c>
      <c r="AR885" s="1">
        <v>0</v>
      </c>
      <c r="AS885" s="1">
        <v>46.58</v>
      </c>
      <c r="AT885" s="1">
        <v>0</v>
      </c>
      <c r="BA885" s="195"/>
      <c r="BB885" s="195"/>
      <c r="BC885" s="195"/>
      <c r="BD885" s="195"/>
      <c r="BE885" s="195"/>
      <c r="BF885" s="195"/>
      <c r="BG885" s="195"/>
      <c r="BH885" s="195"/>
      <c r="BI885" s="195"/>
    </row>
    <row r="886" spans="1:61" x14ac:dyDescent="0.25">
      <c r="A886" t="s">
        <v>343</v>
      </c>
      <c r="B886" t="s">
        <v>344</v>
      </c>
      <c r="C886" t="s">
        <v>1056</v>
      </c>
      <c r="D886" t="s">
        <v>1057</v>
      </c>
      <c r="E886" t="s">
        <v>1077</v>
      </c>
      <c r="F886" t="s">
        <v>1078</v>
      </c>
      <c r="G886" t="s">
        <v>1105</v>
      </c>
      <c r="H886" t="s">
        <v>1106</v>
      </c>
      <c r="AG886" t="s">
        <v>465</v>
      </c>
      <c r="AH886" t="s">
        <v>466</v>
      </c>
      <c r="AI886" t="s">
        <v>353</v>
      </c>
      <c r="AJ886" t="s">
        <v>1105</v>
      </c>
      <c r="AK886" s="1">
        <v>-225199.88</v>
      </c>
      <c r="AL886" s="1">
        <v>0</v>
      </c>
      <c r="AM886" s="1">
        <v>-225199.88</v>
      </c>
      <c r="AN886" s="1">
        <v>-53639.94</v>
      </c>
      <c r="AO886" s="1">
        <v>0</v>
      </c>
      <c r="AP886" s="1">
        <v>-53639.94</v>
      </c>
      <c r="AQ886" s="1">
        <v>-33355.089999999997</v>
      </c>
      <c r="AR886" s="1">
        <v>0</v>
      </c>
      <c r="AS886" s="1">
        <v>-33355.089999999997</v>
      </c>
      <c r="AT886" s="1">
        <v>0</v>
      </c>
      <c r="BA886" s="195"/>
      <c r="BB886" s="195"/>
      <c r="BC886" s="195"/>
      <c r="BD886" s="195"/>
      <c r="BE886" s="195"/>
      <c r="BF886" s="195"/>
      <c r="BG886" s="195"/>
      <c r="BH886" s="195"/>
      <c r="BI886" s="195"/>
    </row>
    <row r="887" spans="1:61" x14ac:dyDescent="0.25">
      <c r="A887" t="s">
        <v>343</v>
      </c>
      <c r="B887" t="s">
        <v>344</v>
      </c>
      <c r="C887" t="s">
        <v>1056</v>
      </c>
      <c r="D887" t="s">
        <v>1057</v>
      </c>
      <c r="E887" t="s">
        <v>1077</v>
      </c>
      <c r="F887" t="s">
        <v>1078</v>
      </c>
      <c r="G887" t="s">
        <v>1105</v>
      </c>
      <c r="H887" t="s">
        <v>1106</v>
      </c>
      <c r="AG887" t="s">
        <v>467</v>
      </c>
      <c r="AH887" t="s">
        <v>468</v>
      </c>
      <c r="AI887" t="s">
        <v>353</v>
      </c>
      <c r="AJ887" t="s">
        <v>1105</v>
      </c>
      <c r="AK887" s="1">
        <v>-1938975.12</v>
      </c>
      <c r="AL887" s="1">
        <v>0</v>
      </c>
      <c r="AM887" s="1">
        <v>-1938975.12</v>
      </c>
      <c r="AN887" s="1">
        <v>-160.1</v>
      </c>
      <c r="AO887" s="1">
        <v>0</v>
      </c>
      <c r="AP887" s="1">
        <v>-160.1</v>
      </c>
      <c r="AQ887" s="1">
        <v>-160.1</v>
      </c>
      <c r="AR887" s="1">
        <v>0</v>
      </c>
      <c r="AS887" s="1">
        <v>-160.1</v>
      </c>
      <c r="AT887" s="1">
        <v>0</v>
      </c>
      <c r="BA887" s="195"/>
      <c r="BB887" s="195"/>
      <c r="BC887" s="195"/>
      <c r="BD887" s="195"/>
      <c r="BE887" s="195"/>
      <c r="BF887" s="195"/>
      <c r="BG887" s="195"/>
      <c r="BH887" s="195"/>
      <c r="BI887" s="195"/>
    </row>
    <row r="888" spans="1:61" x14ac:dyDescent="0.25">
      <c r="A888" t="s">
        <v>343</v>
      </c>
      <c r="B888" t="s">
        <v>344</v>
      </c>
      <c r="C888" t="s">
        <v>1056</v>
      </c>
      <c r="D888" t="s">
        <v>1057</v>
      </c>
      <c r="E888" t="s">
        <v>1077</v>
      </c>
      <c r="F888" t="s">
        <v>1078</v>
      </c>
      <c r="G888" t="s">
        <v>1105</v>
      </c>
      <c r="H888" t="s">
        <v>1106</v>
      </c>
      <c r="AG888" t="s">
        <v>469</v>
      </c>
      <c r="AH888" t="s">
        <v>470</v>
      </c>
      <c r="AI888" t="s">
        <v>353</v>
      </c>
      <c r="AJ888" t="s">
        <v>1105</v>
      </c>
      <c r="AK888" s="1">
        <v>-484733.96</v>
      </c>
      <c r="AL888" s="1">
        <v>0</v>
      </c>
      <c r="AM888" s="1">
        <v>-484733.96</v>
      </c>
      <c r="AN888" s="1">
        <v>-290028.57</v>
      </c>
      <c r="AO888" s="1">
        <v>0</v>
      </c>
      <c r="AP888" s="1">
        <v>-290028.57</v>
      </c>
      <c r="AQ888" s="1">
        <v>-337690.16</v>
      </c>
      <c r="AR888" s="1">
        <v>0</v>
      </c>
      <c r="AS888" s="1">
        <v>-337690.16</v>
      </c>
      <c r="AT888" s="1">
        <v>0</v>
      </c>
      <c r="BA888" s="195"/>
      <c r="BB888" s="195"/>
      <c r="BC888" s="195"/>
      <c r="BD888" s="195"/>
      <c r="BE888" s="195"/>
      <c r="BF888" s="195"/>
      <c r="BG888" s="195"/>
      <c r="BH888" s="195"/>
      <c r="BI888" s="195"/>
    </row>
    <row r="889" spans="1:61" x14ac:dyDescent="0.25">
      <c r="A889" t="s">
        <v>343</v>
      </c>
      <c r="B889" t="s">
        <v>344</v>
      </c>
      <c r="C889" t="s">
        <v>1056</v>
      </c>
      <c r="D889" t="s">
        <v>1057</v>
      </c>
      <c r="E889" t="s">
        <v>1077</v>
      </c>
      <c r="F889" t="s">
        <v>1078</v>
      </c>
      <c r="G889" t="s">
        <v>1105</v>
      </c>
      <c r="H889" t="s">
        <v>1106</v>
      </c>
      <c r="AG889" t="s">
        <v>471</v>
      </c>
      <c r="AH889" t="s">
        <v>472</v>
      </c>
      <c r="AI889" t="s">
        <v>353</v>
      </c>
      <c r="AJ889" t="s">
        <v>1105</v>
      </c>
      <c r="AK889" s="1">
        <v>394760.18</v>
      </c>
      <c r="AL889" s="1">
        <v>0</v>
      </c>
      <c r="AM889" s="1">
        <v>394760.18</v>
      </c>
      <c r="AN889" s="1">
        <v>-2619.91</v>
      </c>
      <c r="AO889" s="1">
        <v>0</v>
      </c>
      <c r="AP889" s="1">
        <v>-2619.91</v>
      </c>
      <c r="AQ889" s="1">
        <v>-103774.64</v>
      </c>
      <c r="AR889" s="1">
        <v>0</v>
      </c>
      <c r="AS889" s="1">
        <v>-103774.64</v>
      </c>
      <c r="AT889" s="1">
        <v>0</v>
      </c>
      <c r="BA889" s="195"/>
      <c r="BB889" s="195"/>
      <c r="BC889" s="195"/>
      <c r="BD889" s="195"/>
      <c r="BE889" s="195"/>
      <c r="BF889" s="195"/>
      <c r="BG889" s="195"/>
      <c r="BH889" s="195"/>
      <c r="BI889" s="195"/>
    </row>
    <row r="890" spans="1:61" x14ac:dyDescent="0.25">
      <c r="A890" t="s">
        <v>343</v>
      </c>
      <c r="B890" t="s">
        <v>344</v>
      </c>
      <c r="C890" t="s">
        <v>1056</v>
      </c>
      <c r="D890" t="s">
        <v>1057</v>
      </c>
      <c r="E890" t="s">
        <v>1077</v>
      </c>
      <c r="F890" t="s">
        <v>1078</v>
      </c>
      <c r="G890" t="s">
        <v>1105</v>
      </c>
      <c r="H890" t="s">
        <v>1106</v>
      </c>
      <c r="AG890" t="s">
        <v>473</v>
      </c>
      <c r="AH890" t="s">
        <v>474</v>
      </c>
      <c r="AI890" t="s">
        <v>353</v>
      </c>
      <c r="AJ890" t="s">
        <v>1105</v>
      </c>
      <c r="AK890" s="1">
        <v>-329.7</v>
      </c>
      <c r="AL890" s="1">
        <v>0</v>
      </c>
      <c r="AM890" s="1">
        <v>-329.7</v>
      </c>
      <c r="AN890" s="1">
        <v>-74.88</v>
      </c>
      <c r="AO890" s="1">
        <v>0</v>
      </c>
      <c r="AP890" s="1">
        <v>-74.88</v>
      </c>
      <c r="AQ890" s="1">
        <v>15.09</v>
      </c>
      <c r="AR890" s="1">
        <v>0</v>
      </c>
      <c r="AS890" s="1">
        <v>15.09</v>
      </c>
      <c r="AT890" s="1">
        <v>0</v>
      </c>
      <c r="BA890" s="195"/>
      <c r="BB890" s="195"/>
      <c r="BC890" s="195"/>
      <c r="BD890" s="195"/>
      <c r="BE890" s="195"/>
      <c r="BF890" s="195"/>
      <c r="BG890" s="195"/>
      <c r="BH890" s="195"/>
      <c r="BI890" s="195"/>
    </row>
    <row r="891" spans="1:61" x14ac:dyDescent="0.25">
      <c r="A891" t="s">
        <v>343</v>
      </c>
      <c r="B891" t="s">
        <v>344</v>
      </c>
      <c r="C891" t="s">
        <v>1056</v>
      </c>
      <c r="D891" t="s">
        <v>1057</v>
      </c>
      <c r="E891" t="s">
        <v>1077</v>
      </c>
      <c r="F891" t="s">
        <v>1078</v>
      </c>
      <c r="G891" t="s">
        <v>1105</v>
      </c>
      <c r="H891" t="s">
        <v>1106</v>
      </c>
      <c r="AG891" t="s">
        <v>475</v>
      </c>
      <c r="AH891" t="s">
        <v>476</v>
      </c>
      <c r="AI891" t="s">
        <v>353</v>
      </c>
      <c r="AJ891" t="s">
        <v>1105</v>
      </c>
      <c r="AK891" s="1">
        <v>-22392.880000000001</v>
      </c>
      <c r="AL891" s="1">
        <v>0</v>
      </c>
      <c r="AM891" s="1">
        <v>-22392.880000000001</v>
      </c>
      <c r="AN891" s="1">
        <v>-2197.44</v>
      </c>
      <c r="AO891" s="1">
        <v>0</v>
      </c>
      <c r="AP891" s="1">
        <v>-2197.44</v>
      </c>
      <c r="AQ891" s="1">
        <v>-1905.34</v>
      </c>
      <c r="AR891" s="1">
        <v>0</v>
      </c>
      <c r="AS891" s="1">
        <v>-1905.34</v>
      </c>
      <c r="AT891" s="1">
        <v>0</v>
      </c>
      <c r="BA891" s="195"/>
      <c r="BB891" s="195"/>
      <c r="BC891" s="195"/>
      <c r="BD891" s="195"/>
      <c r="BE891" s="195"/>
      <c r="BF891" s="195"/>
      <c r="BG891" s="195"/>
      <c r="BH891" s="195"/>
      <c r="BI891" s="195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0"/>
  <sheetViews>
    <sheetView showGridLines="0" zoomScaleNormal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4" width="20.7109375" customWidth="1"/>
    <col min="5" max="5" width="11.42578125" customWidth="1"/>
  </cols>
  <sheetData>
    <row r="1" spans="2:5" ht="20.100000000000001" customHeight="1" x14ac:dyDescent="0.25">
      <c r="B1" s="2" t="str">
        <f>CONCATENATE("Période clôturée au : ",Donnees!K2)</f>
        <v>Période clôturée au : 31/12/2016</v>
      </c>
      <c r="C1" s="328" t="str">
        <f>CONCATENATE("Exercice du ",Donnees!M2," au ",Donnees!N2)</f>
        <v>Exercice du 01/01/2014 au 31/12/2014</v>
      </c>
      <c r="D1" s="328"/>
    </row>
    <row r="2" spans="2:5" ht="24.95" customHeight="1" x14ac:dyDescent="0.25">
      <c r="C2" s="329" t="s">
        <v>75</v>
      </c>
      <c r="D2" s="329"/>
      <c r="E2" s="31"/>
    </row>
    <row r="3" spans="2:5" ht="20.100000000000001" customHeight="1" thickBot="1" x14ac:dyDescent="0.3">
      <c r="B3" s="2" t="str">
        <f>CONCATENATE("Etablissement : ",Donnees!B1," ",Donnees!C1)</f>
        <v>Etablissement : PB QUALIAC</v>
      </c>
    </row>
    <row r="4" spans="2:5" ht="20.100000000000001" customHeight="1" thickTop="1" thickBot="1" x14ac:dyDescent="0.3">
      <c r="B4" s="25" t="s">
        <v>1</v>
      </c>
      <c r="C4" s="6" t="str">
        <f>CONCATENATE(MID(Donnees!B2,4,7)," à ",MID(Donnees!C2,4,7))</f>
        <v>01/2013 à 12/2013</v>
      </c>
      <c r="D4" s="6" t="str">
        <f>CONCATENATE(MID(Donnees!E2,4,7)," à ",MID(Donnees!F2,4,7))</f>
        <v>01/2012 à 12/2012</v>
      </c>
    </row>
    <row r="5" spans="2:5" ht="20.100000000000001" customHeight="1" thickTop="1" x14ac:dyDescent="0.25">
      <c r="B5" s="136" t="s">
        <v>130</v>
      </c>
      <c r="C5" s="99"/>
      <c r="D5" s="137"/>
    </row>
    <row r="6" spans="2:5" ht="20.100000000000001" customHeight="1" x14ac:dyDescent="0.25">
      <c r="B6" s="135" t="s">
        <v>76</v>
      </c>
      <c r="C6" s="111">
        <f>SUMIFS(Donnees!AM$4:AM$999408,Donnees!AJ$4:AJ$999408,"BPDA")</f>
        <v>1422900</v>
      </c>
      <c r="D6" s="115">
        <f>SUMIFS(Donnees!AP$4:AP$999408,Donnees!AJ$4:AJ$999408,"BPDA")</f>
        <v>711450</v>
      </c>
    </row>
    <row r="7" spans="2:5" ht="20.100000000000001" customHeight="1" x14ac:dyDescent="0.25">
      <c r="B7" s="135" t="s">
        <v>134</v>
      </c>
      <c r="C7" s="111">
        <f>SUMIFS(Donnees!AM$4:AM$999408,Donnees!AJ$4:AJ$999408,"BPDB")</f>
        <v>0</v>
      </c>
      <c r="D7" s="115">
        <f>SUMIFS(Donnees!AP$4:AP$999408,Donnees!AJ$4:AJ$999408,"BPDB")</f>
        <v>0</v>
      </c>
    </row>
    <row r="8" spans="2:5" ht="20.100000000000001" customHeight="1" x14ac:dyDescent="0.25">
      <c r="B8" s="135" t="s">
        <v>135</v>
      </c>
      <c r="C8" s="111">
        <f>SUMIFS(Donnees!AM$4:AM$999408,Donnees!AJ$4:AJ$999408,"BPDC")</f>
        <v>0</v>
      </c>
      <c r="D8" s="115">
        <f>SUMIFS(Donnees!AP$4:AP$999408,Donnees!AJ$4:AJ$999408,"BPDC")</f>
        <v>0</v>
      </c>
    </row>
    <row r="9" spans="2:5" ht="20.100000000000001" customHeight="1" x14ac:dyDescent="0.25">
      <c r="B9" s="135" t="s">
        <v>136</v>
      </c>
      <c r="C9" s="111">
        <f>SUMIFS(Donnees!AM$4:AM$999408,Donnees!AJ$4:AJ$999408,"BPDD")</f>
        <v>141490</v>
      </c>
      <c r="D9" s="115">
        <f>SUMIFS(Donnees!AP$4:AP$999408,Donnees!AJ$4:AJ$999408,"BPDD")</f>
        <v>71145</v>
      </c>
    </row>
    <row r="10" spans="2:5" ht="20.100000000000001" customHeight="1" x14ac:dyDescent="0.25">
      <c r="B10" s="135" t="s">
        <v>83</v>
      </c>
      <c r="C10" s="111">
        <f>SUMIFS(Donnees!AM$4:AM$999408,Donnees!AJ$4:AJ$999408,"BPDE")</f>
        <v>0</v>
      </c>
      <c r="D10" s="115">
        <f>SUMIFS(Donnees!AP$4:AP$999408,Donnees!AJ$4:AJ$999408,"BPDE")</f>
        <v>0</v>
      </c>
    </row>
    <row r="11" spans="2:5" ht="20.100000000000001" customHeight="1" x14ac:dyDescent="0.25">
      <c r="B11" s="135" t="s">
        <v>84</v>
      </c>
      <c r="C11" s="111">
        <f>SUMIFS(Donnees!AM$4:AM$999408,Donnees!AJ$4:AJ$999408,"BPDF")</f>
        <v>0</v>
      </c>
      <c r="D11" s="115">
        <f>SUMIFS(Donnees!AP$4:AP$999408,Donnees!AJ$4:AJ$999408,"BPDF")</f>
        <v>0</v>
      </c>
    </row>
    <row r="12" spans="2:5" ht="20.100000000000001" customHeight="1" x14ac:dyDescent="0.25">
      <c r="B12" s="135" t="s">
        <v>85</v>
      </c>
      <c r="C12" s="111">
        <f>SUMIFS(Donnees!AM$4:AM$999408,Donnees!AJ$4:AJ$999408,"BPDG")</f>
        <v>13707.22</v>
      </c>
      <c r="D12" s="115">
        <f>SUMIFS(Donnees!AP$4:AP$999408,Donnees!AJ$4:AJ$999408,"BPDG")</f>
        <v>6853.61</v>
      </c>
    </row>
    <row r="13" spans="2:5" ht="20.100000000000001" customHeight="1" x14ac:dyDescent="0.25">
      <c r="B13" s="135" t="s">
        <v>77</v>
      </c>
      <c r="C13" s="111">
        <f>SUMIFS(Donnees!AM$4:AM$999408,Donnees!AJ$4:AJ$999408,"BPDH")</f>
        <v>18747.32</v>
      </c>
      <c r="D13" s="115">
        <f>SUMIFS(Donnees!AP$4:AP$999408,Donnees!AJ$4:AJ$999408,"BPDH")</f>
        <v>9023.66</v>
      </c>
    </row>
    <row r="14" spans="2:5" ht="20.100000000000001" customHeight="1" x14ac:dyDescent="0.25">
      <c r="B14" s="85" t="s">
        <v>86</v>
      </c>
      <c r="C14" s="86">
        <f>SUMIFS(Donnees!AM$4:AM$999408,Donnees!AJ$4:AJ$999408,"BPDI")</f>
        <v>3495769.2200000128</v>
      </c>
      <c r="D14" s="86">
        <f>SUMIFS(Donnees!AP$4:AP$999408,Donnees!AJ$4:AJ$999408,"BPDI")</f>
        <v>1081345.0800000005</v>
      </c>
    </row>
    <row r="15" spans="2:5" ht="20.100000000000001" customHeight="1" x14ac:dyDescent="0.25">
      <c r="B15" s="88" t="s">
        <v>87</v>
      </c>
      <c r="C15" s="86">
        <f>SUMIFS(Donnees!AM$4:AM$999408,Donnees!AJ$4:AJ$999408,"BPDJ")</f>
        <v>0</v>
      </c>
      <c r="D15" s="87">
        <f>SUMIFS(Donnees!AP$4:AP$999408,Donnees!AJ$4:AJ$999408,"BPDJ")</f>
        <v>0</v>
      </c>
    </row>
    <row r="16" spans="2:5" ht="20.100000000000001" customHeight="1" x14ac:dyDescent="0.25">
      <c r="B16" s="28" t="s">
        <v>88</v>
      </c>
      <c r="C16" s="94">
        <f>SUMIFS(Donnees!AM$4:AM$999408,Donnees!AJ$4:AJ$999408,"BPDK")</f>
        <v>0</v>
      </c>
      <c r="D16" s="127">
        <f>SUMIFS(Donnees!AP$4:AP$999408,Donnees!AJ$4:AJ$999408,"BPDK")</f>
        <v>0</v>
      </c>
    </row>
    <row r="17" spans="2:4" ht="20.100000000000001" customHeight="1" thickBot="1" x14ac:dyDescent="0.3">
      <c r="B17" s="41"/>
      <c r="C17" s="39">
        <f>SUM(C6:C16)</f>
        <v>5092613.7600000128</v>
      </c>
      <c r="D17" s="40">
        <f>SUM(D6:D16)</f>
        <v>1879817.3500000006</v>
      </c>
    </row>
    <row r="18" spans="2:4" ht="20.100000000000001" customHeight="1" thickTop="1" x14ac:dyDescent="0.25">
      <c r="B18" s="136" t="s">
        <v>131</v>
      </c>
      <c r="C18" s="99"/>
      <c r="D18" s="137"/>
    </row>
    <row r="19" spans="2:4" ht="20.100000000000001" customHeight="1" x14ac:dyDescent="0.25">
      <c r="B19" s="135" t="s">
        <v>137</v>
      </c>
      <c r="C19" s="111">
        <f>SUMIFS(Donnees!AM$4:AM$999408,Donnees!AJ$4:AJ$999408,"BPDM")</f>
        <v>0</v>
      </c>
      <c r="D19" s="115">
        <f>SUMIFS(Donnees!AP$4:AP$999408,Donnees!AJ$4:AJ$999408,"BPDM")</f>
        <v>0</v>
      </c>
    </row>
    <row r="20" spans="2:4" ht="20.100000000000001" customHeight="1" x14ac:dyDescent="0.25">
      <c r="B20" s="28" t="s">
        <v>89</v>
      </c>
      <c r="C20" s="94">
        <f>SUMIFS(Donnees!AM$4:AM$999408,Donnees!AJ$4:AJ$999408,"BPDN")</f>
        <v>0</v>
      </c>
      <c r="D20" s="127">
        <f>SUMIFS(Donnees!AP$4:AP$999408,Donnees!AJ$4:AJ$999408,"BPDN")</f>
        <v>0</v>
      </c>
    </row>
    <row r="21" spans="2:4" ht="20.100000000000001" customHeight="1" thickBot="1" x14ac:dyDescent="0.3">
      <c r="B21" s="51"/>
      <c r="C21" s="39">
        <f>SUM(C19:C20)</f>
        <v>0</v>
      </c>
      <c r="D21" s="39">
        <f>SUM(D19:D20)</f>
        <v>0</v>
      </c>
    </row>
    <row r="22" spans="2:4" ht="20.100000000000001" customHeight="1" thickTop="1" x14ac:dyDescent="0.25">
      <c r="B22" s="136" t="s">
        <v>132</v>
      </c>
      <c r="C22" s="99"/>
      <c r="D22" s="137"/>
    </row>
    <row r="23" spans="2:4" ht="20.100000000000001" customHeight="1" x14ac:dyDescent="0.25">
      <c r="B23" s="135" t="s">
        <v>78</v>
      </c>
      <c r="C23" s="111">
        <f>SUMIFS(Donnees!AM$4:AM$999408,Donnees!AJ$4:AJ$999408,"BPDP")</f>
        <v>158630</v>
      </c>
      <c r="D23" s="115">
        <f>SUMIFS(Donnees!AP$4:AP$999408,Donnees!AJ$4:AJ$999408,"BPDP")</f>
        <v>63315</v>
      </c>
    </row>
    <row r="24" spans="2:4" ht="20.100000000000001" customHeight="1" x14ac:dyDescent="0.25">
      <c r="B24" s="28" t="s">
        <v>79</v>
      </c>
      <c r="C24" s="94">
        <f>SUMIFS(Donnees!AM$4:AM$999408,Donnees!AJ$4:AJ$999408,"BPDQ")</f>
        <v>944970</v>
      </c>
      <c r="D24" s="127">
        <f>SUMIFS(Donnees!AP$4:AP$999408,Donnees!AJ$4:AJ$999408,"BPDQ")</f>
        <v>392485</v>
      </c>
    </row>
    <row r="25" spans="2:4" ht="20.100000000000001" customHeight="1" thickBot="1" x14ac:dyDescent="0.3">
      <c r="B25" s="32"/>
      <c r="C25" s="34">
        <f>SUM(C23:C24)</f>
        <v>1103600</v>
      </c>
      <c r="D25" s="35">
        <f>SUM(D23:D24)</f>
        <v>455800</v>
      </c>
    </row>
    <row r="26" spans="2:4" ht="20.100000000000001" customHeight="1" thickTop="1" x14ac:dyDescent="0.25">
      <c r="B26" s="95" t="s">
        <v>133</v>
      </c>
      <c r="C26" s="99"/>
      <c r="D26" s="99"/>
    </row>
    <row r="27" spans="2:4" ht="20.100000000000001" customHeight="1" x14ac:dyDescent="0.25">
      <c r="B27" s="135" t="s">
        <v>80</v>
      </c>
      <c r="C27" s="111">
        <f>SUMIFS(Donnees!AM$4:AM$999408,Donnees!AJ$4:AJ$999408,"BPDS")</f>
        <v>0</v>
      </c>
      <c r="D27" s="115">
        <f>SUMIFS(Donnees!AP$4:AP$999408,Donnees!AJ$4:AJ$999408,"BPDS")</f>
        <v>0</v>
      </c>
    </row>
    <row r="28" spans="2:4" ht="20.100000000000001" customHeight="1" x14ac:dyDescent="0.25">
      <c r="B28" s="88" t="s">
        <v>81</v>
      </c>
      <c r="C28" s="86">
        <f>SUMIFS(Donnees!AM$4:AM$999408,Donnees!AJ$4:AJ$999408,"BPDT")</f>
        <v>0</v>
      </c>
      <c r="D28" s="87">
        <f>SUMIFS(Donnees!AP$4:AP$999408,Donnees!AJ$4:AJ$999408,"BPDT")</f>
        <v>0</v>
      </c>
    </row>
    <row r="29" spans="2:4" ht="20.100000000000001" customHeight="1" x14ac:dyDescent="0.25">
      <c r="B29" s="88" t="s">
        <v>138</v>
      </c>
      <c r="C29" s="86">
        <f>SUMIFS(Donnees!AM$4:AM$999408,Donnees!AJ$4:AJ$999408,"BPDU")</f>
        <v>394760.18</v>
      </c>
      <c r="D29" s="87">
        <f>SUMIFS(Donnees!AP$4:AP$999408,Donnees!AJ$4:AJ$999408,"BPDU")</f>
        <v>0</v>
      </c>
    </row>
    <row r="30" spans="2:4" ht="20.100000000000001" customHeight="1" x14ac:dyDescent="0.25">
      <c r="B30" s="88" t="s">
        <v>139</v>
      </c>
      <c r="C30" s="86">
        <f>SUMIFS(Donnees!AM$4:AM$999408,Donnees!AJ$4:AJ$999408,"BPDV")</f>
        <v>597753.4</v>
      </c>
      <c r="D30" s="87">
        <f>SUMIFS(Donnees!AP$4:AP$999408,Donnees!AJ$4:AJ$999408,"BPDV")</f>
        <v>163981.5</v>
      </c>
    </row>
    <row r="31" spans="2:4" ht="20.100000000000001" customHeight="1" x14ac:dyDescent="0.25">
      <c r="B31" s="88" t="s">
        <v>140</v>
      </c>
      <c r="C31" s="86">
        <f>SUMIFS(Donnees!AM$4:AM$999408,Donnees!AJ$4:AJ$999408,"BPDW")</f>
        <v>0</v>
      </c>
      <c r="D31" s="87">
        <f>SUMIFS(Donnees!AP$4:AP$999408,Donnees!AJ$4:AJ$999408,"BPDW")</f>
        <v>0</v>
      </c>
    </row>
    <row r="32" spans="2:4" ht="20.100000000000001" customHeight="1" x14ac:dyDescent="0.25">
      <c r="B32" s="88" t="s">
        <v>141</v>
      </c>
      <c r="C32" s="86">
        <f>SUMIFS(Donnees!AM$4:AM$999408,Donnees!AJ$4:AJ$999408,"BPDX")</f>
        <v>1469399.48</v>
      </c>
      <c r="D32" s="87">
        <f>SUMIFS(Donnees!AP$4:AP$999408,Donnees!AJ$4:AJ$999408,"BPDX")</f>
        <v>610190.16999999993</v>
      </c>
    </row>
    <row r="33" spans="2:4" ht="20.100000000000001" customHeight="1" x14ac:dyDescent="0.25">
      <c r="B33" s="88" t="s">
        <v>142</v>
      </c>
      <c r="C33" s="86">
        <f>SUMIFS(Donnees!AM$4:AM$999408,Donnees!AJ$4:AJ$999408,"BPDY")</f>
        <v>4101002</v>
      </c>
      <c r="D33" s="87">
        <f>SUMIFS(Donnees!AP$4:AP$999408,Donnees!AJ$4:AJ$999408,"BPDY")</f>
        <v>1986991.5400000003</v>
      </c>
    </row>
    <row r="34" spans="2:4" ht="20.100000000000001" customHeight="1" x14ac:dyDescent="0.25">
      <c r="B34" s="88" t="s">
        <v>143</v>
      </c>
      <c r="C34" s="86">
        <f>SUMIFS(Donnees!AM$4:AM$999408,Donnees!AJ$4:AJ$999408,"BPDZ")</f>
        <v>0</v>
      </c>
      <c r="D34" s="87">
        <f>SUMIFS(Donnees!AP$4:AP$999408,Donnees!AJ$4:AJ$999408,"BPDZ")</f>
        <v>0</v>
      </c>
    </row>
    <row r="35" spans="2:4" ht="20.100000000000001" customHeight="1" x14ac:dyDescent="0.25">
      <c r="B35" s="88" t="s">
        <v>82</v>
      </c>
      <c r="C35" s="86">
        <f>SUMIFS(Donnees!AM$4:AM$999408,Donnees!AJ$4:AJ$999408,"BPEA")</f>
        <v>25247.42</v>
      </c>
      <c r="D35" s="87">
        <f>SUMIFS(Donnees!AP$4:AP$999408,Donnees!AJ$4:AJ$999408,"BPEA")</f>
        <v>16788.03</v>
      </c>
    </row>
    <row r="36" spans="2:4" ht="20.100000000000001" customHeight="1" x14ac:dyDescent="0.25">
      <c r="B36" s="28" t="s">
        <v>144</v>
      </c>
      <c r="C36" s="94">
        <f>SUMIFS(Donnees!AM$4:AM$999408,Donnees!AJ$4:AJ$999408,"BPEB")</f>
        <v>2748189.66</v>
      </c>
      <c r="D36" s="127">
        <f>SUMIFS(Donnees!AP$4:AP$999408,Donnees!AJ$4:AJ$999408,"BPEB")</f>
        <v>842986.03</v>
      </c>
    </row>
    <row r="37" spans="2:4" ht="20.100000000000001" customHeight="1" thickBot="1" x14ac:dyDescent="0.3">
      <c r="B37" s="51"/>
      <c r="C37" s="34">
        <f>SUM(C27:C36)</f>
        <v>9336352.1400000006</v>
      </c>
      <c r="D37" s="39">
        <f>SUM(D27:D36)</f>
        <v>3620937.2699999996</v>
      </c>
    </row>
    <row r="38" spans="2:4" ht="20.100000000000001" customHeight="1" thickTop="1" thickBot="1" x14ac:dyDescent="0.3">
      <c r="B38" s="28" t="s">
        <v>145</v>
      </c>
      <c r="C38" s="22">
        <f>SUMIFS(Donnees!AM$4:AM$999408,Donnees!AJ$4:AJ$999408,"BPED")</f>
        <v>104.08</v>
      </c>
      <c r="D38" s="37">
        <f>SUMIFS(Donnees!AP$4:AP$999408,Donnees!AJ$4:AJ$999408,"BPED")</f>
        <v>26.02</v>
      </c>
    </row>
    <row r="39" spans="2:4" ht="20.100000000000001" customHeight="1" thickTop="1" thickBot="1" x14ac:dyDescent="0.3">
      <c r="B39" s="66" t="s">
        <v>75</v>
      </c>
      <c r="C39" s="23">
        <f>SUM(C17,C21,C25,C37,C38)</f>
        <v>15532669.980000013</v>
      </c>
      <c r="D39" s="23">
        <f>SUM(D17,D21,D25,D37,D38)</f>
        <v>5956580.6399999997</v>
      </c>
    </row>
    <row r="40" spans="2:4" ht="15" customHeight="1" thickTop="1" x14ac:dyDescent="0.25"/>
  </sheetData>
  <mergeCells count="2">
    <mergeCell ref="C1:D1"/>
    <mergeCell ref="C2:D2"/>
  </mergeCells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72"/>
  <sheetViews>
    <sheetView showGridLines="0" topLeftCell="A27" zoomScaleNormal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4" width="20.7109375" customWidth="1"/>
  </cols>
  <sheetData>
    <row r="1" spans="2:4" ht="20.100000000000001" customHeight="1" x14ac:dyDescent="0.25">
      <c r="B1" s="2" t="str">
        <f>CONCATENATE("Période clôturée au : ",Donnees!K2)</f>
        <v>Période clôturée au : 31/12/2016</v>
      </c>
      <c r="C1" s="328" t="str">
        <f>CONCATENATE("Exercice du ",Donnees!M2," au ",Donnees!N2)</f>
        <v>Exercice du 01/01/2014 au 31/12/2014</v>
      </c>
      <c r="D1" s="328"/>
    </row>
    <row r="2" spans="2:4" ht="24.95" customHeight="1" x14ac:dyDescent="0.25">
      <c r="C2" s="329" t="s">
        <v>90</v>
      </c>
      <c r="D2" s="329"/>
    </row>
    <row r="3" spans="2:4" ht="20.100000000000001" customHeight="1" thickBot="1" x14ac:dyDescent="0.3">
      <c r="B3" s="2" t="str">
        <f>CONCATENATE("Etablissement : ",Donnees!B1," ",Donnees!C1)</f>
        <v>Etablissement : PB QUALIAC</v>
      </c>
    </row>
    <row r="4" spans="2:4" ht="20.100000000000001" customHeight="1" thickTop="1" thickBot="1" x14ac:dyDescent="0.3">
      <c r="B4" s="25" t="s">
        <v>1</v>
      </c>
      <c r="C4" s="25" t="str">
        <f>CONCATENATE(MID(Donnees!B2,4,7)," à ",MID(Donnees!C2,4,7))</f>
        <v>01/2013 à 12/2013</v>
      </c>
      <c r="D4" s="6" t="str">
        <f>CONCATENATE(MID(Donnees!E2,4,7)," à ",MID(Donnees!F2,4,7))</f>
        <v>01/2012 à 12/2012</v>
      </c>
    </row>
    <row r="5" spans="2:4" ht="20.100000000000001" customHeight="1" thickTop="1" thickBot="1" x14ac:dyDescent="0.3">
      <c r="B5" s="53" t="s">
        <v>90</v>
      </c>
      <c r="C5" s="45"/>
      <c r="D5" s="46"/>
    </row>
    <row r="6" spans="2:4" ht="20.100000000000001" customHeight="1" thickTop="1" thickBot="1" x14ac:dyDescent="0.3">
      <c r="B6" s="26" t="s">
        <v>91</v>
      </c>
      <c r="C6" s="34"/>
      <c r="D6" s="60"/>
    </row>
    <row r="7" spans="2:4" ht="20.100000000000001" customHeight="1" x14ac:dyDescent="0.25">
      <c r="B7" s="81" t="s">
        <v>92</v>
      </c>
      <c r="C7" s="82">
        <f>SUMIFS(Donnees!AM$4:AM$999408,Donnees!AJ$4:AJ$999408,"REFA")</f>
        <v>608964.06000000006</v>
      </c>
      <c r="D7" s="83">
        <f>SUMIFS(Donnees!AP$4:AP$999408,Donnees!AJ$4:AJ$999408,"REFA")</f>
        <v>304482.03000000003</v>
      </c>
    </row>
    <row r="8" spans="2:4" ht="20.100000000000001" customHeight="1" x14ac:dyDescent="0.25">
      <c r="B8" s="28" t="s">
        <v>146</v>
      </c>
      <c r="C8" s="9">
        <f>SUMIFS(Donnees!AM$4:AM$999408,Donnees!AJ$4:AJ$999408,"REFB")</f>
        <v>28800</v>
      </c>
      <c r="D8" s="37">
        <f>SUMIFS(Donnees!AP$4:AP$999408,Donnees!AJ$4:AJ$999408,"REFB")</f>
        <v>14400</v>
      </c>
    </row>
    <row r="9" spans="2:4" ht="20.100000000000001" customHeight="1" thickBot="1" x14ac:dyDescent="0.3">
      <c r="B9" s="193"/>
      <c r="C9" s="17">
        <f>SUM(C7:C8)</f>
        <v>637764.06000000006</v>
      </c>
      <c r="D9" s="17">
        <f>SUM(D7:D8)</f>
        <v>318882.03000000003</v>
      </c>
    </row>
    <row r="10" spans="2:4" ht="20.100000000000001" customHeight="1" x14ac:dyDescent="0.25">
      <c r="B10" s="28" t="s">
        <v>93</v>
      </c>
      <c r="C10" s="9">
        <f>SUMIFS(Donnees!AM$4:AM$999408,Donnees!AJ$4:AJ$999408,"REFF")</f>
        <v>0</v>
      </c>
      <c r="D10" s="82">
        <f>SUMIFS(Donnees!AP$4:AP$999408,Donnees!AJ$4:AJ$999408,"REFF")</f>
        <v>0</v>
      </c>
    </row>
    <row r="11" spans="2:4" ht="20.100000000000001" customHeight="1" x14ac:dyDescent="0.25">
      <c r="B11" s="89" t="s">
        <v>94</v>
      </c>
      <c r="C11" s="94">
        <f>SUMIFS(Donnees!AM$4:AM$999408,Donnees!AJ$4:AJ$999408,"REFI")</f>
        <v>18230834.239999995</v>
      </c>
      <c r="D11" s="73">
        <f>SUMIFS(Donnees!AP$4:AP$999408,Donnees!AJ$4:AJ$999408,"REFI")</f>
        <v>9044374.6099999975</v>
      </c>
    </row>
    <row r="12" spans="2:4" ht="20.100000000000001" customHeight="1" thickBot="1" x14ac:dyDescent="0.3">
      <c r="B12" s="28" t="s">
        <v>95</v>
      </c>
      <c r="C12" s="9">
        <f>SUM(C9:C11)</f>
        <v>18868598.299999993</v>
      </c>
      <c r="D12" s="74">
        <f>SUM(D9:D11)</f>
        <v>9363256.6399999969</v>
      </c>
    </row>
    <row r="13" spans="2:4" ht="20.100000000000001" customHeight="1" x14ac:dyDescent="0.25">
      <c r="B13" s="71" t="s">
        <v>147</v>
      </c>
      <c r="C13" s="82">
        <f>SUMIFS(Donnees!AM$4:AM$999408,Donnees!AJ$4:AJ$999408,"REFM")</f>
        <v>19448</v>
      </c>
      <c r="D13" s="82">
        <f>SUMIFS(Donnees!AP$4:AP$999408,Donnees!AJ$4:AJ$999408,"REFM")</f>
        <v>9724</v>
      </c>
    </row>
    <row r="14" spans="2:4" ht="20.100000000000001" customHeight="1" x14ac:dyDescent="0.25">
      <c r="B14" s="85" t="s">
        <v>17</v>
      </c>
      <c r="C14" s="86">
        <f>SUMIFS(Donnees!AM$4:AM$999408,Donnees!AJ$4:AJ$999408,"REFN")</f>
        <v>0</v>
      </c>
      <c r="D14" s="87">
        <f>SUMIFS(Donnees!AP$4:AP$999408,Donnees!AJ$4:AJ$999408,"REFN")</f>
        <v>0</v>
      </c>
    </row>
    <row r="15" spans="2:4" ht="20.100000000000001" customHeight="1" x14ac:dyDescent="0.25">
      <c r="B15" s="88" t="s">
        <v>44</v>
      </c>
      <c r="C15" s="86">
        <f>SUMIFS(Donnees!AM$4:AM$999408,Donnees!AJ$4:AJ$999408,"REFO")</f>
        <v>25000</v>
      </c>
      <c r="D15" s="87">
        <f>SUMIFS(Donnees!AP$4:AP$999408,Donnees!AJ$4:AJ$999408,"REFO")</f>
        <v>12500</v>
      </c>
    </row>
    <row r="16" spans="2:4" ht="20.100000000000001" customHeight="1" x14ac:dyDescent="0.25">
      <c r="B16" s="88" t="s">
        <v>148</v>
      </c>
      <c r="C16" s="86">
        <f>SUMIFS(Donnees!AM$4:AM$999408,Donnees!AJ$4:AJ$999408,"REFP")</f>
        <v>970819.9</v>
      </c>
      <c r="D16" s="87">
        <f>SUMIFS(Donnees!AP$4:AP$999408,Donnees!AJ$4:AJ$999408,"REFP")</f>
        <v>485409.95</v>
      </c>
    </row>
    <row r="17" spans="2:4" ht="20.100000000000001" customHeight="1" x14ac:dyDescent="0.25">
      <c r="B17" s="84" t="s">
        <v>96</v>
      </c>
      <c r="C17" s="90">
        <f>SUMIFS(Donnees!AM$4:AM$999408,Donnees!AJ$4:AJ$999408,"REFQ")</f>
        <v>76.72</v>
      </c>
      <c r="D17" s="92">
        <f>SUMIFS(Donnees!AP$4:AP$999408,Donnees!AJ$4:AJ$999408,"REFQ")</f>
        <v>38.36</v>
      </c>
    </row>
    <row r="18" spans="2:4" ht="20.100000000000001" customHeight="1" thickBot="1" x14ac:dyDescent="0.3">
      <c r="B18" s="51"/>
      <c r="C18" s="91">
        <f>SUM(C12:C17)</f>
        <v>19883942.919999991</v>
      </c>
      <c r="D18" s="91">
        <f>SUM(D12:D17)</f>
        <v>9870928.9499999955</v>
      </c>
    </row>
    <row r="19" spans="2:4" ht="20.100000000000001" customHeight="1" thickTop="1" x14ac:dyDescent="0.25">
      <c r="B19" s="95" t="s">
        <v>97</v>
      </c>
      <c r="C19" s="59"/>
      <c r="D19" s="35"/>
    </row>
    <row r="20" spans="2:4" ht="20.100000000000001" customHeight="1" x14ac:dyDescent="0.25">
      <c r="B20" s="28" t="s">
        <v>98</v>
      </c>
      <c r="C20" s="96">
        <f>SUMIFS(Donnees!AM$4:AM$999408,Donnees!AJ$4:AJ$999408,"REFS")</f>
        <v>371844.06000000006</v>
      </c>
      <c r="D20" s="96">
        <f>SUMIFS(Donnees!AP$4:AP$999408,Donnees!AJ$4:AJ$999408,"REFS")</f>
        <v>208444.78000000003</v>
      </c>
    </row>
    <row r="21" spans="2:4" ht="20.100000000000001" customHeight="1" x14ac:dyDescent="0.25">
      <c r="B21" s="84" t="s">
        <v>149</v>
      </c>
      <c r="C21" s="9">
        <f>SUMIFS(Donnees!AM$4:AM$999408,Donnees!AJ$4:AJ$999408,"REFT")</f>
        <v>1178</v>
      </c>
      <c r="D21" s="86">
        <f>SUMIFS(Donnees!AP$4:AP$999408,Donnees!AJ$4:AJ$999408,"REFT")</f>
        <v>40273.019999999997</v>
      </c>
    </row>
    <row r="22" spans="2:4" ht="20.100000000000001" customHeight="1" x14ac:dyDescent="0.25">
      <c r="B22" s="84" t="s">
        <v>150</v>
      </c>
      <c r="C22" s="90">
        <f>SUMIFS(Donnees!AM$4:AM$999408,Donnees!AJ$4:AJ$999408,"REFU")</f>
        <v>0</v>
      </c>
      <c r="D22" s="86">
        <f>SUMIFS(Donnees!AP$4:AP$999408,Donnees!AJ$4:AJ$999408,"REFU")</f>
        <v>0</v>
      </c>
    </row>
    <row r="23" spans="2:4" ht="20.100000000000001" customHeight="1" x14ac:dyDescent="0.25">
      <c r="B23" s="85" t="s">
        <v>149</v>
      </c>
      <c r="C23" s="86">
        <f>SUMIFS(Donnees!AM$4:AM$999408,Donnees!AJ$4:AJ$999408,"REFV")</f>
        <v>1223.3399999999999</v>
      </c>
      <c r="D23" s="87">
        <f>SUMIFS(Donnees!AP$4:AP$999408,Donnees!AJ$4:AJ$999408,"REFV")</f>
        <v>611.66999999999996</v>
      </c>
    </row>
    <row r="24" spans="2:4" ht="20.100000000000001" customHeight="1" x14ac:dyDescent="0.25">
      <c r="B24" s="88" t="s">
        <v>151</v>
      </c>
      <c r="C24" s="86">
        <f>SUMIFS(Donnees!AM$4:AM$999408,Donnees!AJ$4:AJ$999408,"REFW")</f>
        <v>4306025.1800000006</v>
      </c>
      <c r="D24" s="87">
        <f>SUMIFS(Donnees!AP$4:AP$999408,Donnees!AJ$4:AJ$999408,"REFW")</f>
        <v>2145630.3000000003</v>
      </c>
    </row>
    <row r="25" spans="2:4" ht="20.100000000000001" customHeight="1" x14ac:dyDescent="0.25">
      <c r="B25" s="88" t="s">
        <v>26</v>
      </c>
      <c r="C25" s="86">
        <f>SUMIFS(Donnees!AM$4:AM$999408,Donnees!AJ$4:AJ$999408,"REFX")</f>
        <v>326948.24</v>
      </c>
      <c r="D25" s="87">
        <f>SUMIFS(Donnees!AP$4:AP$999408,Donnees!AJ$4:AJ$999408,"REFX")</f>
        <v>163474.12</v>
      </c>
    </row>
    <row r="26" spans="2:4" ht="20.100000000000001" customHeight="1" x14ac:dyDescent="0.25">
      <c r="B26" s="88" t="s">
        <v>152</v>
      </c>
      <c r="C26" s="86">
        <f>SUMIFS(Donnees!AM$4:AM$999408,Donnees!AJ$4:AJ$999408,"REFY")</f>
        <v>7027873.54</v>
      </c>
      <c r="D26" s="87">
        <f>SUMIFS(Donnees!AP$4:AP$999408,Donnees!AJ$4:AJ$999408,"REFY")</f>
        <v>3513936.77</v>
      </c>
    </row>
    <row r="27" spans="2:4" ht="20.100000000000001" customHeight="1" thickBot="1" x14ac:dyDescent="0.3">
      <c r="B27" s="75" t="s">
        <v>99</v>
      </c>
      <c r="C27" s="55">
        <f>SUMIFS(Donnees!AM$4:AM$999408,Donnees!AJ$4:AJ$999408,"REFZ")</f>
        <v>3146202.2600000002</v>
      </c>
      <c r="D27" s="56">
        <f>SUMIFS(Donnees!AP$4:AP$999408,Donnees!AJ$4:AJ$999408,"REFZ")</f>
        <v>1573101.1300000001</v>
      </c>
    </row>
    <row r="28" spans="2:4" ht="20.100000000000001" customHeight="1" x14ac:dyDescent="0.25">
      <c r="B28" s="93" t="s">
        <v>101</v>
      </c>
      <c r="C28" s="82">
        <f>SUMIFS(Donnees!AM$4:AM$999408,Donnees!AJ$4:AJ$999408,"REGA")</f>
        <v>48750.66</v>
      </c>
      <c r="D28" s="83">
        <f>SUMIFS(Donnees!AP$4:AP$999408,Donnees!AJ$4:AJ$999408,"REGA")</f>
        <v>24375.33</v>
      </c>
    </row>
    <row r="29" spans="2:4" ht="20.100000000000001" customHeight="1" x14ac:dyDescent="0.25">
      <c r="B29" s="88" t="s">
        <v>153</v>
      </c>
      <c r="C29" s="86">
        <f>SUMIFS(Donnees!AM$4:AM$999408,Donnees!AJ$4:AJ$999408,"REGB")</f>
        <v>0</v>
      </c>
      <c r="D29" s="87">
        <f>SUMIFS(Donnees!AP$4:AP$999408,Donnees!AJ$4:AJ$999408,"REGB")</f>
        <v>0</v>
      </c>
    </row>
    <row r="30" spans="2:4" ht="20.100000000000001" customHeight="1" x14ac:dyDescent="0.25">
      <c r="B30" s="88" t="s">
        <v>154</v>
      </c>
      <c r="C30" s="86">
        <f>SUMIFS(Donnees!AM$4:AM$999408,Donnees!AJ$4:AJ$999408,"REGC")</f>
        <v>12195.84</v>
      </c>
      <c r="D30" s="87">
        <f>SUMIFS(Donnees!AP$4:AP$999408,Donnees!AJ$4:AJ$999408,"REGC")</f>
        <v>6097.92</v>
      </c>
    </row>
    <row r="31" spans="2:4" ht="20.100000000000001" customHeight="1" x14ac:dyDescent="0.25">
      <c r="B31" s="28" t="s">
        <v>155</v>
      </c>
      <c r="C31" s="9">
        <f>SUMIFS(Donnees!AM$4:AM$999408,Donnees!AJ$4:AJ$999408,"REGD")</f>
        <v>782980</v>
      </c>
      <c r="D31" s="37">
        <f>SUMIFS(Donnees!AP$4:AP$999408,Donnees!AJ$4:AJ$999408,"REGD")</f>
        <v>391490</v>
      </c>
    </row>
    <row r="32" spans="2:4" ht="20.100000000000001" customHeight="1" thickBot="1" x14ac:dyDescent="0.3">
      <c r="B32" s="72" t="s">
        <v>100</v>
      </c>
      <c r="C32" s="17">
        <f>SUM(C28:C31)</f>
        <v>843926.5</v>
      </c>
      <c r="D32" s="17">
        <f>SUM(D28:D31)</f>
        <v>421963.25</v>
      </c>
    </row>
    <row r="33" spans="2:4" ht="20.100000000000001" customHeight="1" x14ac:dyDescent="0.25">
      <c r="B33" s="71" t="s">
        <v>102</v>
      </c>
      <c r="C33" s="97">
        <f>SUMIFS(Donnees!AM$4:AM$999408,Donnees!AJ$4:AJ$999408,"REGE")</f>
        <v>26746.92</v>
      </c>
      <c r="D33" s="37">
        <f>SUMIFS(Donnees!AP$4:AP$999408,Donnees!AJ$4:AJ$999408,"REGE")</f>
        <v>13373.46</v>
      </c>
    </row>
    <row r="34" spans="2:4" ht="20.100000000000001" customHeight="1" thickBot="1" x14ac:dyDescent="0.3">
      <c r="B34" s="76"/>
      <c r="C34" s="39">
        <f>SUM(C20:C27,C32,C33)</f>
        <v>16051968.040000001</v>
      </c>
      <c r="D34" s="91">
        <f>SUM(D20:D27,D32,D33)</f>
        <v>8080808.5</v>
      </c>
    </row>
    <row r="35" spans="2:4" ht="20.100000000000001" customHeight="1" thickTop="1" thickBot="1" x14ac:dyDescent="0.3">
      <c r="B35" s="57" t="s">
        <v>103</v>
      </c>
      <c r="C35" s="42">
        <f>IF(C18="",0,C18)-IF(C34="",0,C34)</f>
        <v>3831974.8799999896</v>
      </c>
      <c r="D35" s="58">
        <f>IF(D18="",0,D18)-IF(D34="",0,D34)</f>
        <v>1790120.4499999955</v>
      </c>
    </row>
    <row r="36" spans="2:4" ht="20.100000000000001" customHeight="1" thickTop="1" x14ac:dyDescent="0.25">
      <c r="B36" s="26" t="s">
        <v>104</v>
      </c>
      <c r="C36" s="99"/>
      <c r="D36" s="35"/>
    </row>
    <row r="37" spans="2:4" ht="20.100000000000001" customHeight="1" x14ac:dyDescent="0.25">
      <c r="B37" s="98" t="s">
        <v>156</v>
      </c>
      <c r="C37" s="9">
        <f>SUMIFS(Donnees!AM$4:AM$999408,Donnees!AJ$4:AJ$999408,"REGH")</f>
        <v>0</v>
      </c>
      <c r="D37" s="74">
        <f>SUMIFS(Donnees!AP$4:AP$999408,Donnees!AJ$4:AJ$999408,"REGH")</f>
        <v>0</v>
      </c>
    </row>
    <row r="38" spans="2:4" ht="20.100000000000001" customHeight="1" x14ac:dyDescent="0.25">
      <c r="B38" s="140" t="s">
        <v>157</v>
      </c>
      <c r="C38" s="94">
        <f>SUMIFS(Donnees!AM$4:AM$999408,Donnees!AJ$4:AJ$999408,"REGI")</f>
        <v>0</v>
      </c>
      <c r="D38" s="94">
        <f>SUMIFS(Donnees!AP$4:AP$999408,Donnees!AJ$4:AJ$999408,"REGI")</f>
        <v>0</v>
      </c>
    </row>
    <row r="39" spans="2:4" ht="20.100000000000001" customHeight="1" thickBot="1" x14ac:dyDescent="0.3">
      <c r="B39" s="51"/>
      <c r="C39" s="91">
        <f>SUM(C37:C38)</f>
        <v>0</v>
      </c>
      <c r="D39" s="91">
        <f>SUM(D37:D38)</f>
        <v>0</v>
      </c>
    </row>
    <row r="40" spans="2:4" ht="20.100000000000001" customHeight="1" thickTop="1" x14ac:dyDescent="0.25">
      <c r="B40" s="52" t="s">
        <v>105</v>
      </c>
      <c r="C40" s="59"/>
      <c r="D40" s="99"/>
    </row>
    <row r="41" spans="2:4" ht="20.100000000000001" customHeight="1" x14ac:dyDescent="0.25">
      <c r="B41" s="101" t="s">
        <v>106</v>
      </c>
      <c r="C41" s="74">
        <f>SUMIFS(Donnees!AM$4:AM$999408,Donnees!AJ$4:AJ$999408,"REGJ")</f>
        <v>0</v>
      </c>
      <c r="D41" s="96">
        <f>SUMIFS(Donnees!AP$4:AP$999408,Donnees!AJ$4:AJ$999408,"REGJ")</f>
        <v>0</v>
      </c>
    </row>
    <row r="42" spans="2:4" ht="20.100000000000001" customHeight="1" x14ac:dyDescent="0.25">
      <c r="B42" s="28" t="s">
        <v>158</v>
      </c>
      <c r="C42" s="90">
        <f>SUMIFS(Donnees!AM$4:AM$999408,Donnees!AJ$4:AJ$999408,"REGK")</f>
        <v>0</v>
      </c>
      <c r="D42" s="37">
        <f>SUMIFS(Donnees!AP$4:AP$999408,Donnees!AJ$4:AJ$999408,"REGK")</f>
        <v>0</v>
      </c>
    </row>
    <row r="43" spans="2:4" ht="20.100000000000001" customHeight="1" x14ac:dyDescent="0.25">
      <c r="B43" s="85" t="s">
        <v>159</v>
      </c>
      <c r="C43" s="86">
        <f>SUMIFS(Donnees!AM$4:AM$999408,Donnees!AJ$4:AJ$999408,"REGL")</f>
        <v>0.16</v>
      </c>
      <c r="D43" s="86">
        <f>SUMIFS(Donnees!AP$4:AP$999408,Donnees!AJ$4:AJ$999408,"REGL")</f>
        <v>0.08</v>
      </c>
    </row>
    <row r="44" spans="2:4" ht="20.100000000000001" customHeight="1" x14ac:dyDescent="0.25">
      <c r="B44" s="85" t="s">
        <v>160</v>
      </c>
      <c r="C44" s="9">
        <f>SUMIFS(Donnees!AM$4:AM$999408,Donnees!AJ$4:AJ$999408,"REGM")</f>
        <v>0</v>
      </c>
      <c r="D44" s="37">
        <f>SUMIFS(Donnees!AP$4:AP$999408,Donnees!AJ$4:AJ$999408,"REGM")</f>
        <v>0</v>
      </c>
    </row>
    <row r="45" spans="2:4" ht="20.100000000000001" customHeight="1" x14ac:dyDescent="0.25">
      <c r="B45" s="85" t="s">
        <v>161</v>
      </c>
      <c r="C45" s="86">
        <f>SUMIFS(Donnees!AM$4:AM$999408,Donnees!AJ$4:AJ$999408,"REGN")</f>
        <v>8659.5</v>
      </c>
      <c r="D45" s="86">
        <f>SUMIFS(Donnees!AP$4:AP$999408,Donnees!AJ$4:AJ$999408,"REGN")</f>
        <v>4329.75</v>
      </c>
    </row>
    <row r="46" spans="2:4" ht="20.100000000000001" customHeight="1" x14ac:dyDescent="0.25">
      <c r="B46" s="28" t="s">
        <v>162</v>
      </c>
      <c r="C46" s="9">
        <f>SUMIFS(Donnees!AM$4:AM$999408,Donnees!AJ$4:AJ$999408,"REGO")</f>
        <v>81421.399999999994</v>
      </c>
      <c r="D46" s="37">
        <f>SUMIFS(Donnees!AP$4:AP$999408,Donnees!AJ$4:AJ$999408,"REGO")</f>
        <v>40710.699999999997</v>
      </c>
    </row>
    <row r="47" spans="2:4" ht="20.100000000000001" customHeight="1" thickBot="1" x14ac:dyDescent="0.3">
      <c r="B47" s="51"/>
      <c r="C47" s="91">
        <f>SUM(C41:C46)</f>
        <v>90081.06</v>
      </c>
      <c r="D47" s="91">
        <f>SUM(D41:D46)</f>
        <v>45040.53</v>
      </c>
    </row>
    <row r="48" spans="2:4" ht="20.100000000000001" customHeight="1" thickTop="1" x14ac:dyDescent="0.25">
      <c r="B48" s="26" t="s">
        <v>107</v>
      </c>
      <c r="C48" s="59"/>
      <c r="D48" s="99"/>
    </row>
    <row r="49" spans="2:4" ht="20.100000000000001" customHeight="1" x14ac:dyDescent="0.25">
      <c r="B49" s="100" t="s">
        <v>163</v>
      </c>
      <c r="C49" s="96">
        <f>SUMIFS(Donnees!AM$4:AM$999408,Donnees!AJ$4:AJ$999408,"REGQ")</f>
        <v>0</v>
      </c>
      <c r="D49" s="37">
        <f>SUMIFS(Donnees!AP$4:AP$999408,Donnees!AJ$4:AJ$999408,"REGQ")</f>
        <v>0</v>
      </c>
    </row>
    <row r="50" spans="2:4" ht="20.100000000000001" customHeight="1" x14ac:dyDescent="0.25">
      <c r="B50" s="84" t="s">
        <v>164</v>
      </c>
      <c r="C50" s="9">
        <f>SUMIFS(Donnees!AM$4:AM$999408,Donnees!AJ$4:AJ$999408,"REGR")</f>
        <v>0.26</v>
      </c>
      <c r="D50" s="86">
        <f>SUMIFS(Donnees!AP$4:AP$999408,Donnees!AJ$4:AJ$999408,"REGR")</f>
        <v>0.13</v>
      </c>
    </row>
    <row r="51" spans="2:4" ht="20.100000000000001" customHeight="1" x14ac:dyDescent="0.25">
      <c r="B51" s="84" t="s">
        <v>165</v>
      </c>
      <c r="C51" s="86">
        <f>SUMIFS(Donnees!AM$4:AM$999408,Donnees!AJ$4:AJ$999408,"REGS")</f>
        <v>2016.8</v>
      </c>
      <c r="D51" s="86">
        <f>SUMIFS(Donnees!AP$4:AP$999408,Donnees!AJ$4:AJ$999408,"REGS")</f>
        <v>1008.4</v>
      </c>
    </row>
    <row r="52" spans="2:4" ht="20.100000000000001" customHeight="1" x14ac:dyDescent="0.25">
      <c r="B52" s="84" t="s">
        <v>166</v>
      </c>
      <c r="C52" s="73">
        <f>SUMIFS(Donnees!AM$4:AM$999408,Donnees!AJ$4:AJ$999408,"REGT")</f>
        <v>0</v>
      </c>
      <c r="D52" s="94">
        <f>SUMIFS(Donnees!AP$4:AP$999408,Donnees!AJ$4:AJ$999408,"REGT")</f>
        <v>0</v>
      </c>
    </row>
    <row r="53" spans="2:4" ht="20.100000000000001" customHeight="1" thickBot="1" x14ac:dyDescent="0.3">
      <c r="B53" s="77"/>
      <c r="C53" s="39">
        <f>SUM(C49:C52)</f>
        <v>2017.06</v>
      </c>
      <c r="D53" s="35">
        <f>SUM(D49:D52)</f>
        <v>1008.53</v>
      </c>
    </row>
    <row r="54" spans="2:4" ht="20.100000000000001" customHeight="1" thickTop="1" x14ac:dyDescent="0.25">
      <c r="B54" s="27" t="s">
        <v>167</v>
      </c>
      <c r="C54" s="42">
        <f>IF(C47="",0,C47)-IF(C53="",0,C53)</f>
        <v>88064</v>
      </c>
      <c r="D54" s="54">
        <f>IF(D47="",0,D47)-IF(D53="",0,D53)</f>
        <v>44032</v>
      </c>
    </row>
    <row r="55" spans="2:4" ht="20.100000000000001" customHeight="1" thickBot="1" x14ac:dyDescent="0.3">
      <c r="B55" s="102" t="s">
        <v>168</v>
      </c>
      <c r="C55" s="103">
        <f>IF(C18="",0,C18)-IF(C34="",0,C34)+IF(C37="",0,C37)-IF(C38="",0,C38)+IF(C47="",0,C47)-IF(C53="",0,C53)</f>
        <v>3920038.8799999896</v>
      </c>
      <c r="D55" s="103">
        <f>IF(D18="",0,D18)-IF(D34="",0,D34)+IF(D37="",0,D37)-IF(D38="",0,D38)+IF(D47="",0,D47)-IF(D53="",0,D53)</f>
        <v>1834152.4499999955</v>
      </c>
    </row>
    <row r="56" spans="2:4" ht="20.100000000000001" customHeight="1" thickTop="1" x14ac:dyDescent="0.25">
      <c r="B56" s="95" t="s">
        <v>108</v>
      </c>
      <c r="C56" s="34"/>
      <c r="D56" s="59"/>
    </row>
    <row r="57" spans="2:4" ht="20.100000000000001" customHeight="1" x14ac:dyDescent="0.25">
      <c r="B57" s="28" t="s">
        <v>169</v>
      </c>
      <c r="C57" s="74">
        <f>SUMIFS(Donnees!AM$4:AM$999408,Donnees!AJ$4:AJ$999408,"REHA")</f>
        <v>95785.84</v>
      </c>
      <c r="D57" s="74">
        <f>SUMIFS(Donnees!AP$4:AP$999408,Donnees!AJ$4:AJ$999408,"REHA")</f>
        <v>47892.92</v>
      </c>
    </row>
    <row r="58" spans="2:4" ht="20.100000000000001" customHeight="1" x14ac:dyDescent="0.25">
      <c r="B58" s="85" t="s">
        <v>266</v>
      </c>
      <c r="C58" s="86">
        <f>SUMIFS(Donnees!AM$4:AM$999408,Donnees!AJ$4:AJ$999408,"REHB")</f>
        <v>0</v>
      </c>
      <c r="D58" s="90">
        <f>SUMIFS(Donnees!AP$4:AP$999408,Donnees!AJ$4:AJ$999408,"REHB")</f>
        <v>0</v>
      </c>
    </row>
    <row r="59" spans="2:4" ht="20.100000000000001" customHeight="1" x14ac:dyDescent="0.25">
      <c r="B59" s="28" t="s">
        <v>267</v>
      </c>
      <c r="C59" s="9">
        <f>SUMIFS(Donnees!AM$4:AM$999408,Donnees!AJ$4:AJ$999408,"REHC")</f>
        <v>0</v>
      </c>
      <c r="D59" s="94">
        <f>SUMIFS(Donnees!AP$4:AP$999408,Donnees!AJ$4:AJ$999408,"REHC")</f>
        <v>0</v>
      </c>
    </row>
    <row r="60" spans="2:4" ht="20.100000000000001" customHeight="1" thickBot="1" x14ac:dyDescent="0.3">
      <c r="B60" s="51"/>
      <c r="C60" s="91">
        <f>SUM(C57:C59)</f>
        <v>95785.84</v>
      </c>
      <c r="D60" s="91">
        <f>SUM(D57:D59)</f>
        <v>47892.92</v>
      </c>
    </row>
    <row r="61" spans="2:4" ht="20.100000000000001" customHeight="1" thickTop="1" x14ac:dyDescent="0.25">
      <c r="B61" s="52" t="s">
        <v>170</v>
      </c>
      <c r="C61" s="59"/>
      <c r="D61" s="59"/>
    </row>
    <row r="62" spans="2:4" ht="20.100000000000001" customHeight="1" x14ac:dyDescent="0.25">
      <c r="B62" s="100" t="s">
        <v>171</v>
      </c>
      <c r="C62" s="74">
        <f>SUMIFS(Donnees!AM$4:AM$999408,Donnees!AJ$4:AJ$999408,"REHE")</f>
        <v>369.76</v>
      </c>
      <c r="D62" s="74">
        <f>SUMIFS(Donnees!AP$4:AP$999408,Donnees!AJ$4:AJ$999408,"REHE")</f>
        <v>184.88</v>
      </c>
    </row>
    <row r="63" spans="2:4" ht="20.100000000000001" customHeight="1" x14ac:dyDescent="0.25">
      <c r="B63" s="85" t="s">
        <v>172</v>
      </c>
      <c r="C63" s="90">
        <f>SUMIFS(Donnees!AM$4:AM$999408,Donnees!AJ$4:AJ$999408,"REHF")</f>
        <v>22238.82</v>
      </c>
      <c r="D63" s="86">
        <f>SUMIFS(Donnees!AP$4:AP$999408,Donnees!AJ$4:AJ$999408,"REHF")</f>
        <v>11119.41</v>
      </c>
    </row>
    <row r="64" spans="2:4" ht="20.100000000000001" customHeight="1" x14ac:dyDescent="0.25">
      <c r="B64" s="28" t="s">
        <v>173</v>
      </c>
      <c r="C64" s="94">
        <f>SUMIFS(Donnees!AM$4:AM$999408,Donnees!AJ$4:AJ$999408,"REHG")</f>
        <v>0</v>
      </c>
      <c r="D64" s="94">
        <f>SUMIFS(Donnees!AP$4:AP$999408,Donnees!AJ$4:AJ$999408,"REHG")</f>
        <v>0</v>
      </c>
    </row>
    <row r="65" spans="2:4" ht="20.100000000000001" customHeight="1" thickBot="1" x14ac:dyDescent="0.3">
      <c r="B65" s="51"/>
      <c r="C65" s="39">
        <f>SUM(C62:C64)</f>
        <v>22608.579999999998</v>
      </c>
      <c r="D65" s="91">
        <f>SUM(D62:D64)</f>
        <v>11304.289999999999</v>
      </c>
    </row>
    <row r="66" spans="2:4" ht="20.100000000000001" customHeight="1" thickTop="1" x14ac:dyDescent="0.25">
      <c r="B66" s="107" t="s">
        <v>174</v>
      </c>
      <c r="C66" s="104">
        <f>IF(C60="",0,C60)-IF(C65="",0,C65)</f>
        <v>73177.259999999995</v>
      </c>
      <c r="D66" s="54">
        <f>IF(D60="",0,D60)-IF(D65="",0,D65)</f>
        <v>36588.629999999997</v>
      </c>
    </row>
    <row r="67" spans="2:4" ht="20.100000000000001" customHeight="1" x14ac:dyDescent="0.25">
      <c r="B67" s="108" t="s">
        <v>175</v>
      </c>
      <c r="C67" s="105">
        <f>SUMIFS(Donnees!AM$4:AM$999408,Donnees!AJ$4:AJ$999408,"REHJ")</f>
        <v>481680</v>
      </c>
      <c r="D67" s="106">
        <f>SUMIFS(Donnees!AP$4:AP$999408,Donnees!AJ$4:AJ$999408,"REHJ")</f>
        <v>240840</v>
      </c>
    </row>
    <row r="68" spans="2:4" ht="20.100000000000001" customHeight="1" thickBot="1" x14ac:dyDescent="0.3">
      <c r="B68" s="61" t="s">
        <v>176</v>
      </c>
      <c r="C68" s="62">
        <f>SUMIFS(Donnees!AM$4:AM$999408,Donnees!AJ$4:AJ$999408,"REHK")</f>
        <v>1097112</v>
      </c>
      <c r="D68" s="103">
        <f>SUMIFS(Donnees!AP$4:AP$999408,Donnees!AJ$4:AJ$999408,"REHK")</f>
        <v>548556</v>
      </c>
    </row>
    <row r="69" spans="2:4" ht="20.100000000000001" customHeight="1" thickTop="1" thickBot="1" x14ac:dyDescent="0.3">
      <c r="B69" s="80" t="s">
        <v>177</v>
      </c>
      <c r="C69" s="22">
        <f>SUM(C55,C66)-SUM(C67,C68)</f>
        <v>2414424.1399999894</v>
      </c>
      <c r="D69" s="22">
        <f>SUM(D55,D66)-SUM(D67,D68)</f>
        <v>1081345.0799999954</v>
      </c>
    </row>
    <row r="70" spans="2:4" ht="20.100000000000001" customHeight="1" thickBot="1" x14ac:dyDescent="0.3">
      <c r="B70" s="78" t="s">
        <v>90</v>
      </c>
      <c r="C70" s="79">
        <f>SUM(C69)</f>
        <v>2414424.1399999894</v>
      </c>
      <c r="D70" s="79">
        <f>SUM(D69)</f>
        <v>1081345.0799999954</v>
      </c>
    </row>
    <row r="71" spans="2:4" ht="20.100000000000001" customHeight="1" thickTop="1" thickBot="1" x14ac:dyDescent="0.3">
      <c r="B71" s="8" t="s">
        <v>109</v>
      </c>
      <c r="C71" s="10">
        <f>SUM(C70)</f>
        <v>2414424.1399999894</v>
      </c>
      <c r="D71" s="11">
        <f>SUM(D70)</f>
        <v>1081345.0799999954</v>
      </c>
    </row>
    <row r="72" spans="2:4" ht="15.75" thickTop="1" x14ac:dyDescent="0.25"/>
  </sheetData>
  <mergeCells count="2">
    <mergeCell ref="C1:D1"/>
    <mergeCell ref="C2:D2"/>
  </mergeCells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"/>
  <sheetViews>
    <sheetView showGridLines="0" topLeftCell="A27" zoomScaleNormal="100" zoomScaleSheetLayoutView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4" width="20.7109375" customWidth="1"/>
  </cols>
  <sheetData>
    <row r="1" spans="1:4" ht="20.100000000000001" customHeight="1" x14ac:dyDescent="0.25">
      <c r="B1" s="2" t="str">
        <f>CONCATENATE("Période clôturée au : ",Donnees!K2)</f>
        <v>Période clôturée au : 31/12/2016</v>
      </c>
      <c r="C1" s="337" t="str">
        <f>CONCATENATE("Exercice du ",Donnees!M2," au ",Donnees!N2)</f>
        <v>Exercice du 01/01/2014 au 31/12/2014</v>
      </c>
      <c r="D1" s="337"/>
    </row>
    <row r="2" spans="1:4" s="4" customFormat="1" ht="24.95" customHeight="1" x14ac:dyDescent="0.45">
      <c r="B2" s="5"/>
      <c r="C2" s="329" t="s">
        <v>45</v>
      </c>
      <c r="D2" s="329"/>
    </row>
    <row r="3" spans="1:4" ht="20.100000000000001" customHeight="1" thickBot="1" x14ac:dyDescent="0.3">
      <c r="B3" s="2" t="str">
        <f>CONCATENATE("Etablissement : ",Donnees!B1," ",Donnees!C1)</f>
        <v>Etablissement : PB QUALIAC</v>
      </c>
    </row>
    <row r="4" spans="1:4" ht="20.100000000000001" customHeight="1" thickTop="1" thickBot="1" x14ac:dyDescent="0.3">
      <c r="B4" s="6" t="s">
        <v>1</v>
      </c>
      <c r="C4" s="6" t="str">
        <f>CONCATENATE(MID(Donnees!B2,4,7)," à ",MID(Donnees!C2,4,7))</f>
        <v>01/2013 à 12/2013</v>
      </c>
      <c r="D4" s="7" t="str">
        <f>CONCATENATE(MID(Donnees!E2,4,7)," à ",MID(Donnees!F2,4,7))</f>
        <v>01/2012 à 12/2012</v>
      </c>
    </row>
    <row r="5" spans="1:4" ht="20.100000000000001" customHeight="1" thickTop="1" x14ac:dyDescent="0.25">
      <c r="A5" s="3"/>
      <c r="B5" s="187" t="s">
        <v>2</v>
      </c>
      <c r="C5" s="189">
        <f>SUMIFS(Donnees!AM$4:AM$999408,Donnees!AJ$4:AJ$999408,"SIG91")</f>
        <v>0</v>
      </c>
      <c r="D5" s="191">
        <f>SUMIFS(Donnees!AP$4:AP$999408,Donnees!AJ$4:AJ$999408,"SIG91")</f>
        <v>0</v>
      </c>
    </row>
    <row r="6" spans="1:4" ht="20.100000000000001" customHeight="1" x14ac:dyDescent="0.25">
      <c r="A6" s="3"/>
      <c r="B6" s="188" t="s">
        <v>3</v>
      </c>
      <c r="C6" s="190">
        <f>SUMIFS(Donnees!AM$4:AM$999408,Donnees!AJ$4:AJ$999408,"SIG92")</f>
        <v>0</v>
      </c>
      <c r="D6" s="190">
        <f>SUMIFS(Donnees!AP$4:AP$999408,Donnees!AJ$4:AJ$999408,"SIG92")</f>
        <v>0</v>
      </c>
    </row>
    <row r="7" spans="1:4" ht="20.100000000000001" customHeight="1" x14ac:dyDescent="0.25">
      <c r="A7" s="3"/>
      <c r="B7" s="141" t="s">
        <v>4</v>
      </c>
      <c r="C7" s="96">
        <f>SUMIFS(Donnees!AM$4:AM$999408,Donnees!AJ$4:AJ$999408,"SIG11")</f>
        <v>637764.06000000006</v>
      </c>
      <c r="D7" s="96">
        <f>SUMIFS(Donnees!AP$4:AP$999408,Donnees!AJ$4:AJ$999408,"SIG11")</f>
        <v>318882.03000000003</v>
      </c>
    </row>
    <row r="8" spans="1:4" ht="20.100000000000001" customHeight="1" x14ac:dyDescent="0.25">
      <c r="A8" s="3"/>
      <c r="B8" s="142" t="s">
        <v>5</v>
      </c>
      <c r="C8" s="86">
        <f>SUMIFS(Donnees!AM$4:AM$999408,Donnees!AJ$4:AJ$999408,"SIG12")</f>
        <v>-371844.06000000006</v>
      </c>
      <c r="D8" s="86">
        <f>SUMIFS(Donnees!AP$4:AP$999408,Donnees!AJ$4:AJ$999408,"SIG12")</f>
        <v>-208444.78000000003</v>
      </c>
    </row>
    <row r="9" spans="1:4" ht="20.100000000000001" customHeight="1" x14ac:dyDescent="0.25">
      <c r="A9" s="3"/>
      <c r="B9" s="142" t="s">
        <v>6</v>
      </c>
      <c r="C9" s="86">
        <f>SUMIFS(Donnees!AM$4:AM$999408,Donnees!AJ$4:AJ$999408,"SIG13")</f>
        <v>0</v>
      </c>
      <c r="D9" s="86">
        <f>SUMIFS(Donnees!AP$4:AP$999408,Donnees!AJ$4:AJ$999408,"SIG13")</f>
        <v>0</v>
      </c>
    </row>
    <row r="10" spans="1:4" ht="20.100000000000001" customHeight="1" x14ac:dyDescent="0.25">
      <c r="A10" s="3"/>
      <c r="B10" s="142" t="s">
        <v>43</v>
      </c>
      <c r="C10" s="86">
        <f>SUMIFS(Donnees!AM$4:AM$999408,Donnees!AJ$4:AJ$999408,"SIG14")</f>
        <v>-1178</v>
      </c>
      <c r="D10" s="86">
        <f>SUMIFS(Donnees!AP$4:AP$999408,Donnees!AJ$4:AJ$999408,"SIG14")</f>
        <v>-40273.019999999997</v>
      </c>
    </row>
    <row r="11" spans="1:4" ht="20.100000000000001" customHeight="1" x14ac:dyDescent="0.25">
      <c r="A11" s="3"/>
      <c r="B11" s="150" t="s">
        <v>7</v>
      </c>
      <c r="C11" s="9">
        <f>SUMIFS(Donnees!AM$4:AM$999408,Donnees!AJ$4:AJ$999408,"SIG15")</f>
        <v>0</v>
      </c>
      <c r="D11" s="9">
        <f>SUMIFS(Donnees!AP$4:AP$999408,Donnees!AJ$4:AJ$999408,"SIG15")</f>
        <v>0</v>
      </c>
    </row>
    <row r="12" spans="1:4" ht="20.100000000000001" customHeight="1" x14ac:dyDescent="0.25">
      <c r="A12" s="3"/>
      <c r="B12" s="153" t="s">
        <v>8</v>
      </c>
      <c r="C12" s="154">
        <f>SUM(C5:C11)</f>
        <v>264742</v>
      </c>
      <c r="D12" s="154">
        <f>SUM(D5:D11)</f>
        <v>70164.23000000001</v>
      </c>
    </row>
    <row r="13" spans="1:4" ht="20.100000000000001" customHeight="1" x14ac:dyDescent="0.25">
      <c r="B13" s="194" t="s">
        <v>9</v>
      </c>
      <c r="C13" s="152">
        <f>SUMIFS(Donnees!AM$4:AM$999408,Donnees!AJ$4:AJ$999408,"SIG21")</f>
        <v>0</v>
      </c>
      <c r="D13" s="111">
        <f>SUMIFS(Donnees!AP$4:AP$999408,Donnees!AJ$4:AJ$999408,"SIG21")</f>
        <v>0</v>
      </c>
    </row>
    <row r="14" spans="1:4" ht="20.100000000000001" customHeight="1" x14ac:dyDescent="0.25">
      <c r="B14" s="143" t="s">
        <v>10</v>
      </c>
      <c r="C14" s="116">
        <f>SUMIFS(Donnees!AM$4:AM$999408,Donnees!AJ$4:AJ$999408,"SIG221")</f>
        <v>0</v>
      </c>
      <c r="D14" s="86">
        <f>SUMIFS(Donnees!AP$4:AP$999408,Donnees!AJ$4:AJ$999408,"SIG221")</f>
        <v>0</v>
      </c>
    </row>
    <row r="15" spans="1:4" ht="20.100000000000001" customHeight="1" x14ac:dyDescent="0.25">
      <c r="B15" s="143" t="s">
        <v>11</v>
      </c>
      <c r="C15" s="144">
        <f>SUMIFS(Donnees!AM$4:AM$999408,Donnees!AJ$4:AJ$999408,"SIG222")</f>
        <v>0</v>
      </c>
      <c r="D15" s="86">
        <f>SUMIFS(Donnees!AP$4:AP$999408,Donnees!AJ$4:AJ$999408,"SIG222")</f>
        <v>0</v>
      </c>
    </row>
    <row r="16" spans="1:4" ht="20.100000000000001" customHeight="1" x14ac:dyDescent="0.25">
      <c r="B16" s="143" t="s">
        <v>12</v>
      </c>
      <c r="C16" s="144">
        <f>SUMIFS(Donnees!AM$4:AM$999408,Donnees!AJ$4:AJ$999408,"SIG223")</f>
        <v>18226853.539999995</v>
      </c>
      <c r="D16" s="86">
        <f>SUMIFS(Donnees!AP$4:AP$999408,Donnees!AJ$4:AJ$999408,"SIG223")</f>
        <v>9042384.2599999979</v>
      </c>
    </row>
    <row r="17" spans="2:4" ht="20.100000000000001" customHeight="1" x14ac:dyDescent="0.25">
      <c r="B17" s="18" t="s">
        <v>13</v>
      </c>
      <c r="C17" s="86">
        <f>SUMIFS(Donnees!AM$4:AM$999408,Donnees!AJ$4:AJ$999408,"SIG224")</f>
        <v>3980.7</v>
      </c>
      <c r="D17" s="9">
        <f>SUMIFS(Donnees!AP$4:AP$999408,Donnees!AJ$4:AJ$999408,"SIG224")</f>
        <v>1990.35</v>
      </c>
    </row>
    <row r="18" spans="2:4" ht="20.100000000000001" customHeight="1" x14ac:dyDescent="0.25">
      <c r="B18" s="155" t="s">
        <v>14</v>
      </c>
      <c r="C18" s="94">
        <f>SUMIFS(Donnees!AM$4:AM$999408,Donnees!AJ$4:AJ$999408,"SIG225")</f>
        <v>0</v>
      </c>
      <c r="D18" s="94">
        <f>SUMIFS(Donnees!AP$4:AP$999408,Donnees!AJ$4:AJ$999408,"SIG225")</f>
        <v>0</v>
      </c>
    </row>
    <row r="19" spans="2:4" ht="20.100000000000001" customHeight="1" x14ac:dyDescent="0.25">
      <c r="B19" s="156" t="s">
        <v>15</v>
      </c>
      <c r="C19" s="154">
        <f>SUM(C13:C18)</f>
        <v>18230834.239999995</v>
      </c>
      <c r="D19" s="154">
        <f>SUM(D13:D18)</f>
        <v>9044374.6099999975</v>
      </c>
    </row>
    <row r="20" spans="2:4" ht="20.100000000000001" customHeight="1" x14ac:dyDescent="0.25">
      <c r="B20" s="151" t="s">
        <v>16</v>
      </c>
      <c r="C20" s="114">
        <f>SUMIFS(Donnees!AM$4:AM$999408,Donnees!AJ$4:AJ$999408,"SIG23")</f>
        <v>19448</v>
      </c>
      <c r="D20" s="111">
        <f>SUMIFS(Donnees!AP$4:AP$999408,Donnees!AJ$4:AJ$999408,"SIG23")</f>
        <v>9724</v>
      </c>
    </row>
    <row r="21" spans="2:4" ht="20.100000000000001" customHeight="1" x14ac:dyDescent="0.25">
      <c r="B21" s="142" t="s">
        <v>17</v>
      </c>
      <c r="C21" s="144">
        <f>SUMIFS(Donnees!AM$4:AM$999408,Donnees!AJ$4:AJ$999408,"SIG24")</f>
        <v>0</v>
      </c>
      <c r="D21" s="86">
        <f>SUMIFS(Donnees!AP$4:AP$999408,Donnees!AJ$4:AJ$999408,"SIG24")</f>
        <v>0</v>
      </c>
    </row>
    <row r="22" spans="2:4" ht="20.100000000000001" customHeight="1" x14ac:dyDescent="0.25">
      <c r="B22" s="150" t="s">
        <v>18</v>
      </c>
      <c r="C22" s="157">
        <f>SUMIFS(Donnees!AM$4:AM$999408,Donnees!AJ$4:AJ$999408,"SIG25")</f>
        <v>0</v>
      </c>
      <c r="D22" s="94">
        <f>SUMIFS(Donnees!AP$4:AP$999408,Donnees!AJ$4:AJ$999408,"SIG25")</f>
        <v>0</v>
      </c>
    </row>
    <row r="23" spans="2:4" ht="20.100000000000001" customHeight="1" x14ac:dyDescent="0.25">
      <c r="B23" s="153" t="s">
        <v>19</v>
      </c>
      <c r="C23" s="159">
        <f>SUM(C19:C22)</f>
        <v>18250282.239999995</v>
      </c>
      <c r="D23" s="154">
        <f>SUM(D19:D22)</f>
        <v>9054098.6099999975</v>
      </c>
    </row>
    <row r="24" spans="2:4" ht="20.100000000000001" customHeight="1" x14ac:dyDescent="0.25">
      <c r="B24" s="158" t="s">
        <v>20</v>
      </c>
      <c r="C24" s="152">
        <f>SUMIFS(Donnees!AM$4:AM$999408,Donnees!AJ$4:AJ$999408,"SIG31")</f>
        <v>-473350.49999999994</v>
      </c>
      <c r="D24" s="111">
        <f>SUMIFS(Donnees!AP$4:AP$999408,Donnees!AJ$4:AJ$999408,"SIG31")</f>
        <v>-229292.96</v>
      </c>
    </row>
    <row r="25" spans="2:4" ht="20.100000000000001" customHeight="1" x14ac:dyDescent="0.25">
      <c r="B25" s="145" t="s">
        <v>21</v>
      </c>
      <c r="C25" s="144">
        <f>SUMIFS(Donnees!AM$4:AM$999408,Donnees!AJ$4:AJ$999408,"SIG32")</f>
        <v>0</v>
      </c>
      <c r="D25" s="86">
        <f>SUMIFS(Donnees!AP$4:AP$999408,Donnees!AJ$4:AJ$999408,"SIG32")</f>
        <v>0</v>
      </c>
    </row>
    <row r="26" spans="2:4" ht="20.100000000000001" customHeight="1" x14ac:dyDescent="0.25">
      <c r="B26" s="145" t="s">
        <v>268</v>
      </c>
      <c r="C26" s="144">
        <f>SUMIFS(Donnees!AM$4:AM$999408,Donnees!AJ$4:AJ$999408,"SIG33")</f>
        <v>-1223.3399999999999</v>
      </c>
      <c r="D26" s="86">
        <f>SUMIFS(Donnees!AP$4:AP$999408,Donnees!AJ$4:AJ$999408,"SIG33")</f>
        <v>-611.66999999999996</v>
      </c>
    </row>
    <row r="27" spans="2:4" ht="20.100000000000001" customHeight="1" x14ac:dyDescent="0.25">
      <c r="B27" s="145" t="s">
        <v>22</v>
      </c>
      <c r="C27" s="144">
        <f>SUMIFS(Donnees!AM$4:AM$999408,Donnees!AJ$4:AJ$999408,"SIG34")</f>
        <v>0</v>
      </c>
      <c r="D27" s="86">
        <f>SUMIFS(Donnees!AP$4:AP$999408,Donnees!AJ$4:AJ$999408,"SIG34")</f>
        <v>0</v>
      </c>
    </row>
    <row r="28" spans="2:4" ht="20.100000000000001" customHeight="1" x14ac:dyDescent="0.25">
      <c r="B28" s="145" t="s">
        <v>23</v>
      </c>
      <c r="C28" s="144">
        <f>SUMIFS(Donnees!AM$4:AM$999408,Donnees!AJ$4:AJ$999408,"SIG35")</f>
        <v>-3832674.68</v>
      </c>
      <c r="D28" s="86">
        <f>SUMIFS(Donnees!AP$4:AP$999408,Donnees!AJ$4:AJ$999408,"SIG35")</f>
        <v>-1916337.34</v>
      </c>
    </row>
    <row r="29" spans="2:4" ht="20.100000000000001" customHeight="1" x14ac:dyDescent="0.25">
      <c r="B29" s="160" t="s">
        <v>24</v>
      </c>
      <c r="C29" s="157">
        <f>SUMIFS(Donnees!AM$4:AM$999408,Donnees!AJ$4:AJ$999408,"SIG36")</f>
        <v>0</v>
      </c>
      <c r="D29" s="94">
        <f>SUMIFS(Donnees!AP$4:AP$999408,Donnees!AJ$4:AJ$999408,"SIG36")</f>
        <v>0</v>
      </c>
    </row>
    <row r="30" spans="2:4" ht="20.100000000000001" customHeight="1" x14ac:dyDescent="0.25">
      <c r="B30" s="162" t="s">
        <v>25</v>
      </c>
      <c r="C30" s="163">
        <f>SUM(C12,C23:C29)</f>
        <v>14207775.719999995</v>
      </c>
      <c r="D30" s="164">
        <f>SUM(D12,D23:D29)</f>
        <v>6978020.8699999973</v>
      </c>
    </row>
    <row r="31" spans="2:4" ht="20.100000000000001" customHeight="1" x14ac:dyDescent="0.25">
      <c r="B31" s="161" t="s">
        <v>44</v>
      </c>
      <c r="C31" s="152">
        <f>SUMIFS(Donnees!AM$4:AM$999408,Donnees!AJ$4:AJ$999408,"SIG41")</f>
        <v>25000</v>
      </c>
      <c r="D31" s="111">
        <f>SUMIFS(Donnees!AP$4:AP$999408,Donnees!AJ$4:AJ$999408,"SIG41")</f>
        <v>12500</v>
      </c>
    </row>
    <row r="32" spans="2:4" ht="20.100000000000001" customHeight="1" x14ac:dyDescent="0.25">
      <c r="B32" s="146" t="s">
        <v>26</v>
      </c>
      <c r="C32" s="144">
        <f>SUMIFS(Donnees!AM$4:AM$999408,Donnees!AJ$4:AJ$999408,"SIG42")</f>
        <v>-326948.24</v>
      </c>
      <c r="D32" s="86">
        <f>SUMIFS(Donnees!AP$4:AP$999408,Donnees!AJ$4:AJ$999408,"SIG42")</f>
        <v>-163474.12</v>
      </c>
    </row>
    <row r="33" spans="2:5" ht="20.100000000000001" customHeight="1" x14ac:dyDescent="0.25">
      <c r="B33" s="165" t="s">
        <v>27</v>
      </c>
      <c r="C33" s="157">
        <f>SUMIFS(Donnees!AM$4:AM$999408,Donnees!AJ$4:AJ$999408,"SIG43")</f>
        <v>-10174075.799999997</v>
      </c>
      <c r="D33" s="94">
        <f>SUMIFS(Donnees!AP$4:AP$999408,Donnees!AJ$4:AJ$999408,"SIG43")</f>
        <v>-5087037.8999999985</v>
      </c>
    </row>
    <row r="34" spans="2:5" ht="20.100000000000001" customHeight="1" x14ac:dyDescent="0.25">
      <c r="B34" s="167" t="s">
        <v>28</v>
      </c>
      <c r="C34" s="168">
        <f>SUM(C30:C33)</f>
        <v>3731751.6799999978</v>
      </c>
      <c r="D34" s="169">
        <f>SUM(D30:D33)</f>
        <v>1740008.8499999987</v>
      </c>
    </row>
    <row r="35" spans="2:5" ht="20.100000000000001" customHeight="1" x14ac:dyDescent="0.25">
      <c r="B35" s="166" t="s">
        <v>269</v>
      </c>
      <c r="C35" s="152">
        <f>SUMIFS(Donnees!AM$4:AM$999408,Donnees!AJ$4:AJ$999408,"SIG51")</f>
        <v>937408.5</v>
      </c>
      <c r="D35" s="111">
        <f>SUMIFS(Donnees!AP$4:AP$999408,Donnees!AJ$4:AJ$999408,"SIG51")</f>
        <v>468704.25</v>
      </c>
    </row>
    <row r="36" spans="2:5" ht="20.100000000000001" customHeight="1" x14ac:dyDescent="0.25">
      <c r="B36" s="147" t="s">
        <v>270</v>
      </c>
      <c r="C36" s="144">
        <f>SUMIFS(Donnees!AM$4:AM$999408,Donnees!AJ$4:AJ$999408,"SIG52")</f>
        <v>-843926.5</v>
      </c>
      <c r="D36" s="86">
        <f>SUMIFS(Donnees!AP$4:AP$999408,Donnees!AJ$4:AJ$999408,"SIG52")</f>
        <v>-421963.25</v>
      </c>
    </row>
    <row r="37" spans="2:5" ht="20.100000000000001" customHeight="1" x14ac:dyDescent="0.25">
      <c r="B37" s="147" t="s">
        <v>29</v>
      </c>
      <c r="C37" s="144">
        <f>SUMIFS(Donnees!AM$4:AM$999408,Donnees!AJ$4:AJ$999408,"SIG53")</f>
        <v>76.72</v>
      </c>
      <c r="D37" s="86">
        <f>SUMIFS(Donnees!AP$4:AP$999408,Donnees!AJ$4:AJ$999408,"SIG53")</f>
        <v>38.36</v>
      </c>
    </row>
    <row r="38" spans="2:5" ht="20.100000000000001" customHeight="1" x14ac:dyDescent="0.25">
      <c r="B38" s="147" t="s">
        <v>30</v>
      </c>
      <c r="C38" s="144">
        <f>SUMIFS(Donnees!AM$4:AM$999408,Donnees!AJ$4:AJ$999408,"SIG54")</f>
        <v>-26746.92</v>
      </c>
      <c r="D38" s="86">
        <f>SUMIFS(Donnees!AP$4:AP$999408,Donnees!AJ$4:AJ$999408,"SIG54")</f>
        <v>-13373.46</v>
      </c>
    </row>
    <row r="39" spans="2:5" ht="20.100000000000001" customHeight="1" x14ac:dyDescent="0.25">
      <c r="B39" s="170" t="s">
        <v>31</v>
      </c>
      <c r="C39" s="157">
        <f>SUMIFS(Donnees!AM$4:AM$999408,Donnees!AJ$4:AJ$999408,"SIG55")</f>
        <v>33411.4</v>
      </c>
      <c r="D39" s="94">
        <f>SUMIFS(Donnees!AP$4:AP$999408,Donnees!AJ$4:AJ$999408,"SIG55")</f>
        <v>16705.7</v>
      </c>
    </row>
    <row r="40" spans="2:5" ht="20.100000000000001" customHeight="1" x14ac:dyDescent="0.25">
      <c r="B40" s="172" t="s">
        <v>32</v>
      </c>
      <c r="C40" s="173">
        <f>SUM(C34:C39)</f>
        <v>3831974.879999998</v>
      </c>
      <c r="D40" s="174">
        <f>SUM(D34:D39)</f>
        <v>1790120.4499999988</v>
      </c>
    </row>
    <row r="41" spans="2:5" ht="20.100000000000001" customHeight="1" x14ac:dyDescent="0.25">
      <c r="B41" s="171" t="s">
        <v>33</v>
      </c>
      <c r="C41" s="152">
        <f>SUMIFS(Donnees!AM$4:AM$999408,Donnees!AJ$4:AJ$999408,"SIG61")</f>
        <v>0</v>
      </c>
      <c r="D41" s="111">
        <f>SUMIFS(Donnees!AP$4:AP$999408,Donnees!AJ$4:AJ$999408,"SIG61")</f>
        <v>0</v>
      </c>
    </row>
    <row r="42" spans="2:5" ht="20.100000000000001" customHeight="1" x14ac:dyDescent="0.25">
      <c r="B42" s="110" t="s">
        <v>33</v>
      </c>
      <c r="C42" s="144">
        <f>SUMIFS(Donnees!AM$4:AM$999408,Donnees!AJ$4:AJ$999408,"SIG62")</f>
        <v>0</v>
      </c>
      <c r="D42" s="86">
        <f>SUMIFS(Donnees!AP$4:AP$999408,Donnees!AJ$4:AJ$999408,"SIG62")</f>
        <v>0</v>
      </c>
    </row>
    <row r="43" spans="2:5" ht="20.100000000000001" customHeight="1" x14ac:dyDescent="0.25">
      <c r="B43" s="110" t="s">
        <v>34</v>
      </c>
      <c r="C43" s="144">
        <f>SUMIFS(Donnees!AM$4:AM$999408,Donnees!AJ$4:AJ$999408,"SIG63")</f>
        <v>90081.06</v>
      </c>
      <c r="D43" s="86">
        <f>SUMIFS(Donnees!AP$4:AP$999408,Donnees!AJ$4:AJ$999408,"SIG63")</f>
        <v>45040.53</v>
      </c>
    </row>
    <row r="44" spans="2:5" ht="20.100000000000001" customHeight="1" x14ac:dyDescent="0.25">
      <c r="B44" s="176" t="s">
        <v>35</v>
      </c>
      <c r="C44" s="94">
        <f>SUMIFS(Donnees!AM$4:AM$999408,Donnees!AJ$4:AJ$999408,"SIG64")</f>
        <v>-2017.06</v>
      </c>
      <c r="D44" s="94">
        <f>SUMIFS(Donnees!AP$4:AP$999408,Donnees!AJ$4:AJ$999408,"SIG64")</f>
        <v>-1008.53</v>
      </c>
    </row>
    <row r="45" spans="2:5" ht="20.100000000000001" customHeight="1" thickBot="1" x14ac:dyDescent="0.3">
      <c r="B45" s="15" t="s">
        <v>36</v>
      </c>
      <c r="C45" s="12">
        <f>SUM(C40:C44)</f>
        <v>3920038.879999998</v>
      </c>
      <c r="D45" s="175">
        <f>SUM(D40:D44)</f>
        <v>1834152.4499999988</v>
      </c>
      <c r="E45" s="149"/>
    </row>
    <row r="46" spans="2:5" ht="20.100000000000001" customHeight="1" x14ac:dyDescent="0.25">
      <c r="B46" s="148" t="s">
        <v>37</v>
      </c>
      <c r="C46" s="82">
        <f>SUMIFS(Donnees!AM$4:AM$999408,Donnees!AJ$4:AJ$999408,"SIG71")</f>
        <v>95785.84</v>
      </c>
      <c r="D46" s="16">
        <f>SUMIFS(Donnees!AP$4:AP$999408,Donnees!AJ$4:AJ$999408,"SIG71")</f>
        <v>47892.92</v>
      </c>
    </row>
    <row r="47" spans="2:5" ht="20.100000000000001" customHeight="1" x14ac:dyDescent="0.25">
      <c r="B47" s="176" t="s">
        <v>38</v>
      </c>
      <c r="C47" s="157">
        <f>SUMIFS(Donnees!AM$4:AM$999408,Donnees!AJ$4:AJ$999408,"SIG72")</f>
        <v>-22608.579999999998</v>
      </c>
      <c r="D47" s="94">
        <f>SUMIFS(Donnees!AP$4:AP$999408,Donnees!AJ$4:AJ$999408,"SIG72")</f>
        <v>-11304.289999999999</v>
      </c>
    </row>
    <row r="48" spans="2:5" ht="20.100000000000001" customHeight="1" x14ac:dyDescent="0.25">
      <c r="B48" s="180" t="s">
        <v>39</v>
      </c>
      <c r="C48" s="181">
        <f>SUM(C46:C47)</f>
        <v>73177.259999999995</v>
      </c>
      <c r="D48" s="182">
        <f>SUM(D46:D47)</f>
        <v>36588.629999999997</v>
      </c>
    </row>
    <row r="49" spans="2:4" ht="20.100000000000001" customHeight="1" x14ac:dyDescent="0.25">
      <c r="B49" s="177" t="s">
        <v>40</v>
      </c>
      <c r="C49" s="178">
        <f>SUMIFS(Donnees!AM$4:AM$999408,Donnees!AJ$4:AJ$999408,"SIG81")</f>
        <v>-481680</v>
      </c>
      <c r="D49" s="179">
        <f>SUMIFS(Donnees!AP$4:AP$999408,Donnees!AJ$4:AJ$999408,"SIG81")</f>
        <v>-240840</v>
      </c>
    </row>
    <row r="50" spans="2:4" ht="20.100000000000001" customHeight="1" x14ac:dyDescent="0.25">
      <c r="B50" s="185" t="s">
        <v>41</v>
      </c>
      <c r="C50" s="186">
        <f>SUMIFS(Donnees!AM$4:AM$999408,Donnees!AJ$4:AJ$999408,"SIG82")</f>
        <v>-1097112</v>
      </c>
      <c r="D50" s="183">
        <f>SUMIFS(Donnees!AP$4:AP$999408,Donnees!AJ$4:AJ$999408,"SIG82")</f>
        <v>-548556</v>
      </c>
    </row>
    <row r="51" spans="2:4" ht="20.100000000000001" customHeight="1" thickBot="1" x14ac:dyDescent="0.3">
      <c r="B51" s="13" t="s">
        <v>42</v>
      </c>
      <c r="C51" s="14">
        <f>SUM(C45,C48,C49,C50)</f>
        <v>2414424.1399999978</v>
      </c>
      <c r="D51" s="184">
        <f>SUM(D45,D48,D49,D50)</f>
        <v>1081345.0799999987</v>
      </c>
    </row>
    <row r="52" spans="2:4" ht="20.100000000000001" customHeight="1" thickTop="1" thickBot="1" x14ac:dyDescent="0.3">
      <c r="B52" s="8" t="str">
        <f>CONCATENATE("TOTAL ",Donnees!B1," ",Donnees!C1)</f>
        <v>TOTAL PB QUALIAC</v>
      </c>
      <c r="C52" s="10">
        <f>SUM(C5,C6,C51)</f>
        <v>2414424.1399999978</v>
      </c>
      <c r="D52" s="11">
        <f>SUM(D5,D6,D51)</f>
        <v>1081345.0799999987</v>
      </c>
    </row>
    <row r="53" spans="2:4" ht="15.75" thickTop="1" x14ac:dyDescent="0.25"/>
  </sheetData>
  <mergeCells count="2">
    <mergeCell ref="C1:D1"/>
    <mergeCell ref="C2:D2"/>
  </mergeCells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5"/>
  <sheetViews>
    <sheetView showGridLines="0" zoomScaleNormal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7" width="20.7109375" customWidth="1"/>
  </cols>
  <sheetData>
    <row r="1" spans="2:7" ht="20.100000000000001" customHeight="1" x14ac:dyDescent="0.25">
      <c r="B1" s="2" t="str">
        <f>CONCATENATE("Période clôturée au : ",Donnees!K2)</f>
        <v>Période clôturée au : 31/12/2016</v>
      </c>
      <c r="C1" s="338" t="str">
        <f>CONCATENATE("Exercice du ",Donnees!M2," au ",Donnees!N2)</f>
        <v>Exercice du 01/01/2014 au 31/12/2014</v>
      </c>
      <c r="D1" s="338"/>
    </row>
    <row r="2" spans="2:7" ht="24.95" customHeight="1" x14ac:dyDescent="0.25">
      <c r="C2" s="329" t="s">
        <v>232</v>
      </c>
      <c r="D2" s="329"/>
    </row>
    <row r="3" spans="2:7" ht="20.100000000000001" customHeight="1" thickBot="1" x14ac:dyDescent="0.3">
      <c r="B3" s="2" t="str">
        <f>CONCATENATE("Etablissement : ",Donnees!B1," ",Donnees!C1)</f>
        <v>Etablissement : PB QUALIAC</v>
      </c>
    </row>
    <row r="4" spans="2:7" ht="20.100000000000001" customHeight="1" thickTop="1" thickBot="1" x14ac:dyDescent="0.3">
      <c r="B4" s="6"/>
      <c r="C4" s="6" t="str">
        <f>CONCATENATE(MID(Donnees!B2,4,7)," à ",MID(Donnees!C2,4,7))</f>
        <v>01/2013 à 12/2013</v>
      </c>
      <c r="D4" s="6" t="str">
        <f>CONCATENATE(MID(Donnees!E2,4,7)," à ",MID(Donnees!F2,4,7))</f>
        <v>01/2012 à 12/2012</v>
      </c>
      <c r="E4" s="6" t="str">
        <f>CONCATENATE(MID(Donnees!H2,4,7)," à ",MID(Donnees!I2,4,7))</f>
        <v>01/2011 à 12/2011</v>
      </c>
      <c r="F4" s="6" t="str">
        <f>+"Varation "&amp;MID(Donnees!C2,7,4)&amp;"/"&amp;MID(Donnees!F2,7,4)</f>
        <v>Varation 2013/2012</v>
      </c>
      <c r="G4" s="6" t="str">
        <f>+"Varation "&amp;MID(Donnees!F2,7,4)&amp;"/"&amp;MID(Donnees!I2,7,4)</f>
        <v>Varation 2012/2011</v>
      </c>
    </row>
    <row r="5" spans="2:7" ht="20.100000000000001" customHeight="1" thickTop="1" x14ac:dyDescent="0.25">
      <c r="B5" s="199" t="s">
        <v>68</v>
      </c>
      <c r="C5" s="111">
        <f>SUMIFS(Donnees!AM$4:AM$999490,Donnees!AJ$4:AJ$999490,"PLNBFR11")</f>
        <v>129550.44</v>
      </c>
      <c r="D5" s="22">
        <f>SUMIFS(Donnees!AP$4:AP$999490,Donnees!AJ$4:AJ$999490,"PLNBFR11")</f>
        <v>71977.590000000011</v>
      </c>
      <c r="E5" s="22">
        <f>SUMIFS(Donnees!AS$4:AS$999490,Donnees!AJ$4:AJ$999490,"PLNBFR11")</f>
        <v>108624.53</v>
      </c>
      <c r="F5" s="22">
        <f>C5-D5</f>
        <v>57572.849999999991</v>
      </c>
      <c r="G5" s="22">
        <f>D5-E5</f>
        <v>-36646.939999999988</v>
      </c>
    </row>
    <row r="6" spans="2:7" ht="20.100000000000001" customHeight="1" x14ac:dyDescent="0.25">
      <c r="B6" s="85" t="s">
        <v>233</v>
      </c>
      <c r="C6" s="86">
        <f>SUMIFS(Donnees!AM$4:AM$999490,Donnees!AJ$4:AJ$999490,"PLNBFR12")</f>
        <v>5046782.0799999991</v>
      </c>
      <c r="D6" s="86">
        <f>SUMIFS(Donnees!AP$4:AP$999490,Donnees!AJ$4:AJ$999490,"PLNBFR12")</f>
        <v>2473378.0299999998</v>
      </c>
      <c r="E6" s="86">
        <f>SUMIFS(Donnees!AS$4:AS$999490,Donnees!AJ$4:AJ$999490,"PLNBFR12")</f>
        <v>2215175.88</v>
      </c>
      <c r="F6" s="86">
        <f>C6-D6</f>
        <v>2573404.0499999993</v>
      </c>
      <c r="G6" s="86">
        <f>D6-E6</f>
        <v>258202.14999999991</v>
      </c>
    </row>
    <row r="7" spans="2:7" ht="20.100000000000001" customHeight="1" x14ac:dyDescent="0.25">
      <c r="B7" s="85" t="s">
        <v>65</v>
      </c>
      <c r="C7" s="86">
        <f>SUMIFS(Donnees!AM$4:AM$999490,Donnees!AJ$4:AJ$999490,"PLNBFR13")</f>
        <v>0</v>
      </c>
      <c r="D7" s="86">
        <f>SUMIFS(Donnees!AP$4:AP$999490,Donnees!AJ$4:AJ$999490,"PLNBFR13")</f>
        <v>0</v>
      </c>
      <c r="E7" s="86">
        <f>SUMIFS(Donnees!AS$4:AS$999490,Donnees!AJ$4:AJ$999490,"PLNBFR13")</f>
        <v>0</v>
      </c>
      <c r="F7" s="86">
        <f t="shared" ref="F7:F19" si="0">C7-D7</f>
        <v>0</v>
      </c>
      <c r="G7" s="86">
        <f t="shared" ref="G7:G19" si="1">D7-E7</f>
        <v>0</v>
      </c>
    </row>
    <row r="8" spans="2:7" ht="20.100000000000001" customHeight="1" x14ac:dyDescent="0.25">
      <c r="B8" s="85" t="s">
        <v>124</v>
      </c>
      <c r="C8" s="86">
        <f>SUMIFS(Donnees!AM$4:AM$999490,Donnees!AJ$4:AJ$999490,"PLNBFR14")</f>
        <v>364814.91999999993</v>
      </c>
      <c r="D8" s="86">
        <f>SUMIFS(Donnees!AP$4:AP$999490,Donnees!AJ$4:AJ$999490,"PLNBFR14")</f>
        <v>126578.87999999999</v>
      </c>
      <c r="E8" s="86">
        <f>SUMIFS(Donnees!AS$4:AS$999490,Donnees!AJ$4:AJ$999490,"PLNBFR14")</f>
        <v>260297.44</v>
      </c>
      <c r="F8" s="86">
        <f t="shared" si="0"/>
        <v>238236.03999999992</v>
      </c>
      <c r="G8" s="86">
        <f t="shared" si="1"/>
        <v>-133718.56</v>
      </c>
    </row>
    <row r="9" spans="2:7" ht="20.100000000000001" customHeight="1" x14ac:dyDescent="0.25">
      <c r="B9" s="85" t="s">
        <v>128</v>
      </c>
      <c r="C9" s="86">
        <f>SUMIFS(Donnees!AM$4:AM$999490,Donnees!AJ$4:AJ$999490,"PLNBFR15")</f>
        <v>385304.92</v>
      </c>
      <c r="D9" s="86">
        <f>SUMIFS(Donnees!AP$4:AP$999490,Donnees!AJ$4:AJ$999490,"PLNBFR15")</f>
        <v>137453.25</v>
      </c>
      <c r="E9" s="86">
        <f>SUMIFS(Donnees!AS$4:AS$999490,Donnees!AJ$4:AJ$999490,"PLNBFR15")</f>
        <v>82254.039999999994</v>
      </c>
      <c r="F9" s="86">
        <f t="shared" si="0"/>
        <v>247851.66999999998</v>
      </c>
      <c r="G9" s="86">
        <f t="shared" si="1"/>
        <v>55199.210000000006</v>
      </c>
    </row>
    <row r="10" spans="2:7" ht="20.100000000000001" customHeight="1" x14ac:dyDescent="0.25">
      <c r="B10" s="85" t="s">
        <v>234</v>
      </c>
      <c r="C10" s="86">
        <f>SUMIFS(Donnees!AM$4:AM$999490,Donnees!AJ$4:AJ$999490,"PLNBFR16")</f>
        <v>0</v>
      </c>
      <c r="D10" s="86">
        <f>SUMIFS(Donnees!AP$4:AP$999490,Donnees!AJ$4:AJ$999490,"PLNBFR16")</f>
        <v>0</v>
      </c>
      <c r="E10" s="86">
        <f>SUMIFS(Donnees!AS$4:AS$999490,Donnees!AJ$4:AJ$999490,"PLNBFR16")</f>
        <v>0</v>
      </c>
      <c r="F10" s="86">
        <f t="shared" si="0"/>
        <v>0</v>
      </c>
      <c r="G10" s="86">
        <f t="shared" si="1"/>
        <v>0</v>
      </c>
    </row>
    <row r="11" spans="2:7" ht="20.100000000000001" customHeight="1" x14ac:dyDescent="0.25">
      <c r="B11" s="85" t="s">
        <v>235</v>
      </c>
      <c r="C11" s="86">
        <f>SUMIFS(Donnees!AM$4:AM$999490,Donnees!AJ$4:AJ$999490,"PLNBFR17")</f>
        <v>0</v>
      </c>
      <c r="D11" s="86">
        <f>SUMIFS(Donnees!AP$4:AP$999490,Donnees!AJ$4:AJ$999490,"PLNBFR17")</f>
        <v>0</v>
      </c>
      <c r="E11" s="86">
        <f>SUMIFS(Donnees!AS$4:AS$999490,Donnees!AJ$4:AJ$999490,"PLNBFR17")</f>
        <v>0</v>
      </c>
      <c r="F11" s="86">
        <f t="shared" si="0"/>
        <v>0</v>
      </c>
      <c r="G11" s="86">
        <f t="shared" si="1"/>
        <v>0</v>
      </c>
    </row>
    <row r="12" spans="2:7" ht="20.100000000000001" customHeight="1" x14ac:dyDescent="0.25">
      <c r="B12" s="85" t="s">
        <v>276</v>
      </c>
      <c r="C12" s="86">
        <f>SUMIFS(Donnees!AM$4:AM$999490,Donnees!AJ$4:AJ$999490,"PLNBFR18")</f>
        <v>6436.8</v>
      </c>
      <c r="D12" s="86">
        <f>SUMIFS(Donnees!AP$4:AP$999490,Donnees!AJ$4:AJ$999490,"PLNBFR18")</f>
        <v>1752.6</v>
      </c>
      <c r="E12" s="86">
        <f>SUMIFS(Donnees!AS$4:AS$999490,Donnees!AJ$4:AJ$999490,"PLNBFR18")</f>
        <v>286.8</v>
      </c>
      <c r="F12" s="86">
        <f t="shared" ref="F12" si="2">C12-D12</f>
        <v>4684.2000000000007</v>
      </c>
      <c r="G12" s="86">
        <f t="shared" ref="G12" si="3">D12-E12</f>
        <v>1465.8</v>
      </c>
    </row>
    <row r="13" spans="2:7" ht="20.100000000000001" customHeight="1" thickBot="1" x14ac:dyDescent="0.3">
      <c r="B13" s="212" t="s">
        <v>0</v>
      </c>
      <c r="C13" s="213">
        <f>SUM(C5:C12)</f>
        <v>5932889.1599999992</v>
      </c>
      <c r="D13" s="213">
        <f>SUM(D5:D12)</f>
        <v>2811140.3499999996</v>
      </c>
      <c r="E13" s="213">
        <f>SUM(E5:E12)</f>
        <v>2666638.6899999995</v>
      </c>
      <c r="F13" s="213">
        <f>SUM(F5:F12)</f>
        <v>3121748.8099999996</v>
      </c>
      <c r="G13" s="213">
        <f>SUM(G5:G12)</f>
        <v>144501.65999999992</v>
      </c>
    </row>
    <row r="14" spans="2:7" ht="20.100000000000001" customHeight="1" thickTop="1" x14ac:dyDescent="0.25">
      <c r="B14" s="85" t="s">
        <v>236</v>
      </c>
      <c r="C14" s="111">
        <f>SUMIFS(Donnees!AM$4:AM$999490,Donnees!AJ$4:AJ$999490,"PLNBFR21")</f>
        <v>1469399.48</v>
      </c>
      <c r="D14" s="111">
        <f>SUMIFS(Donnees!AP$4:AP$999490,Donnees!AJ$4:AJ$999490,"PLNBFR21")</f>
        <v>610190.16999999993</v>
      </c>
      <c r="E14" s="111">
        <f>SUMIFS(Donnees!AS$4:AS$999490,Donnees!AJ$4:AJ$999490,"PLNBFR21")</f>
        <v>485680.6</v>
      </c>
      <c r="F14" s="86">
        <f t="shared" si="0"/>
        <v>859209.31</v>
      </c>
      <c r="G14" s="86">
        <f t="shared" si="1"/>
        <v>124509.56999999995</v>
      </c>
    </row>
    <row r="15" spans="2:7" ht="20.100000000000001" customHeight="1" x14ac:dyDescent="0.25">
      <c r="B15" s="85" t="s">
        <v>142</v>
      </c>
      <c r="C15" s="111">
        <f>SUMIFS(Donnees!AM$4:AM$999490,Donnees!AJ$4:AJ$999490,"PLNBFR22")</f>
        <v>4101002</v>
      </c>
      <c r="D15" s="111">
        <f>SUMIFS(Donnees!AP$4:AP$999490,Donnees!AJ$4:AJ$999490,"PLNBFR22")</f>
        <v>1986991.5400000003</v>
      </c>
      <c r="E15" s="111">
        <f>SUMIFS(Donnees!AS$4:AS$999490,Donnees!AJ$4:AJ$999490,"PLNBFR22")</f>
        <v>1963765.1600000001</v>
      </c>
      <c r="F15" s="86">
        <f t="shared" si="0"/>
        <v>2114010.46</v>
      </c>
      <c r="G15" s="86">
        <f t="shared" si="1"/>
        <v>23226.380000000121</v>
      </c>
    </row>
    <row r="16" spans="2:7" ht="20.100000000000001" customHeight="1" x14ac:dyDescent="0.25">
      <c r="B16" s="200" t="s">
        <v>82</v>
      </c>
      <c r="C16" s="111">
        <f>SUMIFS(Donnees!AM$4:AM$999490,Donnees!AJ$4:AJ$999490,"PLNBFR23")</f>
        <v>25247.42</v>
      </c>
      <c r="D16" s="111">
        <f>SUMIFS(Donnees!AP$4:AP$999490,Donnees!AJ$4:AJ$999490,"PLNBFR23")</f>
        <v>16788.03</v>
      </c>
      <c r="E16" s="111">
        <f>SUMIFS(Donnees!AS$4:AS$999490,Donnees!AJ$4:AJ$999490,"PLNBFR23")</f>
        <v>36176.46</v>
      </c>
      <c r="F16" s="86">
        <f t="shared" si="0"/>
        <v>8459.39</v>
      </c>
      <c r="G16" s="86">
        <f t="shared" si="1"/>
        <v>-19388.43</v>
      </c>
    </row>
    <row r="17" spans="2:7" ht="20.100000000000001" customHeight="1" x14ac:dyDescent="0.25">
      <c r="B17" s="85" t="s">
        <v>237</v>
      </c>
      <c r="C17" s="111">
        <f>SUMIFS(Donnees!AM$4:AM$999490,Donnees!AJ$4:AJ$999490,"PLNBFR24")</f>
        <v>0</v>
      </c>
      <c r="D17" s="111">
        <f>SUMIFS(Donnees!AP$4:AP$999490,Donnees!AJ$4:AJ$999490,"PLNBFR24")</f>
        <v>0</v>
      </c>
      <c r="E17" s="111">
        <f>SUMIFS(Donnees!AS$4:AS$999490,Donnees!AJ$4:AJ$999490,"PLNBFR24")</f>
        <v>0</v>
      </c>
      <c r="F17" s="86">
        <f t="shared" si="0"/>
        <v>0</v>
      </c>
      <c r="G17" s="86">
        <f t="shared" si="1"/>
        <v>0</v>
      </c>
    </row>
    <row r="18" spans="2:7" ht="20.100000000000001" customHeight="1" x14ac:dyDescent="0.25">
      <c r="B18" s="85" t="s">
        <v>238</v>
      </c>
      <c r="C18" s="111">
        <f>SUMIFS(Donnees!AM$4:AM$999490,Donnees!AJ$4:AJ$999490,"PLNBFR25")</f>
        <v>2748189.66</v>
      </c>
      <c r="D18" s="111">
        <f>SUMIFS(Donnees!AP$4:AP$999490,Donnees!AJ$4:AJ$999490,"PLNBFR25")</f>
        <v>842986.03</v>
      </c>
      <c r="E18" s="111">
        <f>SUMIFS(Donnees!AS$4:AS$999490,Donnees!AJ$4:AJ$999490,"PLNBFR25")</f>
        <v>311877.23</v>
      </c>
      <c r="F18" s="86">
        <f t="shared" si="0"/>
        <v>1905203.6300000001</v>
      </c>
      <c r="G18" s="86">
        <f t="shared" si="1"/>
        <v>531108.80000000005</v>
      </c>
    </row>
    <row r="19" spans="2:7" ht="20.100000000000001" customHeight="1" x14ac:dyDescent="0.25">
      <c r="B19" s="85" t="s">
        <v>234</v>
      </c>
      <c r="C19" s="111">
        <f>SUMIFS(Donnees!AM$4:AM$999490,Donnees!AJ$4:AJ$999490,"PLNBFR26")</f>
        <v>0</v>
      </c>
      <c r="D19" s="111">
        <f>SUMIFS(Donnees!AP$4:AP$999490,Donnees!AJ$4:AJ$999490,"PLNBFR26")</f>
        <v>0</v>
      </c>
      <c r="E19" s="111">
        <f>SUMIFS(Donnees!AS$4:AS$999490,Donnees!AJ$4:AJ$999490,"PLNBFR26")</f>
        <v>0</v>
      </c>
      <c r="F19" s="86">
        <f t="shared" si="0"/>
        <v>0</v>
      </c>
      <c r="G19" s="86">
        <f t="shared" si="1"/>
        <v>0</v>
      </c>
    </row>
    <row r="20" spans="2:7" ht="20.100000000000001" customHeight="1" x14ac:dyDescent="0.25">
      <c r="B20" s="85" t="s">
        <v>239</v>
      </c>
      <c r="C20" s="9">
        <f>SUMIFS(Donnees!AM$4:AM$999490,Donnees!AJ$4:AJ$999490,"PLNBFR27")</f>
        <v>0</v>
      </c>
      <c r="D20" s="86">
        <f>SUMIFS(Donnees!AP$4:AP$999490,Donnees!AJ$4:AJ$999490,"PLNBFR27")</f>
        <v>0</v>
      </c>
      <c r="E20" s="86">
        <f>SUMIFS(Donnees!AS$4:AS$999490,Donnees!AJ$4:AJ$999490,"PLNBFR27")</f>
        <v>0</v>
      </c>
      <c r="F20" s="86">
        <f>C20-D20</f>
        <v>0</v>
      </c>
      <c r="G20" s="86">
        <f>D20-E20</f>
        <v>0</v>
      </c>
    </row>
    <row r="21" spans="2:7" ht="20.100000000000001" customHeight="1" x14ac:dyDescent="0.25">
      <c r="B21" s="85" t="s">
        <v>277</v>
      </c>
      <c r="C21" s="86">
        <f>SUMIFS(Donnees!AM$4:AM$999490,Donnees!AJ$4:AJ$999490,"PLNBFR28")</f>
        <v>104.08</v>
      </c>
      <c r="D21" s="86">
        <f>SUMIFS(Donnees!AP$4:AP$999490,Donnees!AJ$4:AJ$999490,"PLNBFR28")</f>
        <v>26.02</v>
      </c>
      <c r="E21" s="86">
        <f>SUMIFS(Donnees!AS$4:AS$999490,Donnees!AJ$4:AJ$999490,"PLNBFR28")</f>
        <v>0</v>
      </c>
      <c r="F21" s="86">
        <f>C21-D21</f>
        <v>78.06</v>
      </c>
      <c r="G21" s="86">
        <f>D21-E21</f>
        <v>26.02</v>
      </c>
    </row>
    <row r="22" spans="2:7" ht="20.100000000000001" customHeight="1" thickBot="1" x14ac:dyDescent="0.3">
      <c r="B22" s="212" t="s">
        <v>240</v>
      </c>
      <c r="C22" s="213">
        <f>SUM(C14:C21)</f>
        <v>8343942.6400000006</v>
      </c>
      <c r="D22" s="213">
        <f>SUM(D14:D21)</f>
        <v>3456981.7899999996</v>
      </c>
      <c r="E22" s="213">
        <f>SUM(E14:E21)</f>
        <v>2797499.45</v>
      </c>
      <c r="F22" s="213">
        <f>SUM(F14:F21)</f>
        <v>4886960.8499999996</v>
      </c>
      <c r="G22" s="213">
        <f>SUM(G14:G21)</f>
        <v>659482.34000000008</v>
      </c>
    </row>
    <row r="23" spans="2:7" ht="20.100000000000001" customHeight="1" thickTop="1" x14ac:dyDescent="0.25">
      <c r="B23" s="192"/>
      <c r="C23" s="119"/>
      <c r="D23" s="119"/>
      <c r="E23" s="9"/>
      <c r="F23" s="119"/>
      <c r="G23" s="9"/>
    </row>
    <row r="24" spans="2:7" ht="20.100000000000001" customHeight="1" thickBot="1" x14ac:dyDescent="0.3">
      <c r="B24" s="196" t="s">
        <v>241</v>
      </c>
      <c r="C24" s="197">
        <f>C13-C22</f>
        <v>-2411053.4800000014</v>
      </c>
      <c r="D24" s="197">
        <f>D13-D22</f>
        <v>-645841.43999999994</v>
      </c>
      <c r="E24" s="198">
        <f>E13-E22</f>
        <v>-130860.76000000071</v>
      </c>
      <c r="F24" s="197">
        <f>F13-F22</f>
        <v>-1765212.04</v>
      </c>
      <c r="G24" s="198">
        <f>G13-G22</f>
        <v>-514980.68000000017</v>
      </c>
    </row>
    <row r="25" spans="2:7" ht="15.75" thickTop="1" x14ac:dyDescent="0.25"/>
  </sheetData>
  <mergeCells count="2">
    <mergeCell ref="C1:D1"/>
    <mergeCell ref="C2:D2"/>
  </mergeCell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showGridLines="0" topLeftCell="A12" zoomScaleNormal="100" workbookViewId="0"/>
  </sheetViews>
  <sheetFormatPr baseColWidth="10" defaultRowHeight="15" x14ac:dyDescent="0.25"/>
  <cols>
    <col min="1" max="1" width="3.7109375" customWidth="1"/>
    <col min="2" max="2" width="85.7109375" customWidth="1"/>
    <col min="3" max="4" width="20.7109375" customWidth="1"/>
  </cols>
  <sheetData>
    <row r="1" spans="2:5" ht="20.100000000000001" customHeight="1" x14ac:dyDescent="0.25">
      <c r="B1" s="2" t="str">
        <f>CONCATENATE("Période clôturée au : ",Donnees!K2)</f>
        <v>Période clôturée au : 31/12/2016</v>
      </c>
      <c r="C1" s="338" t="str">
        <f>CONCATENATE("Exercice du ",Donnees!M2," au ",Donnees!N2)</f>
        <v>Exercice du 01/01/2014 au 31/12/2014</v>
      </c>
      <c r="D1" s="338"/>
    </row>
    <row r="2" spans="2:5" ht="24.95" customHeight="1" thickBot="1" x14ac:dyDescent="0.3">
      <c r="C2" s="329" t="s">
        <v>242</v>
      </c>
      <c r="D2" s="329"/>
    </row>
    <row r="3" spans="2:5" ht="20.100000000000001" customHeight="1" thickTop="1" thickBot="1" x14ac:dyDescent="0.3">
      <c r="B3" s="2" t="str">
        <f>CONCATENATE("Etablissement : ",Donnees!B1," ",Donnees!C1)</f>
        <v>Etablissement : PB QUALIAC</v>
      </c>
      <c r="C3" s="201" t="str">
        <f>CONCATENATE(MID(Donnees!B2,4,7)," à ",MID(Donnees!C2,4,7))</f>
        <v>01/2013 à 12/2013</v>
      </c>
      <c r="D3" s="201" t="str">
        <f>CONCATENATE(MID(Donnees!E2,4,7)," à ",MID(Donnees!F2,4,7))</f>
        <v>01/2012 à 12/2012</v>
      </c>
    </row>
    <row r="4" spans="2:5" ht="20.100000000000001" customHeight="1" thickTop="1" x14ac:dyDescent="0.25">
      <c r="B4" s="221" t="s">
        <v>243</v>
      </c>
      <c r="C4" s="225"/>
      <c r="D4" s="225"/>
    </row>
    <row r="5" spans="2:5" ht="20.100000000000001" customHeight="1" x14ac:dyDescent="0.25">
      <c r="B5" s="207" t="s">
        <v>244</v>
      </c>
      <c r="C5" s="226">
        <f>+'BILAN PASSIF'!C14</f>
        <v>3495769.2200000128</v>
      </c>
      <c r="D5" s="226">
        <f>+'BILAN PASSIF'!D14</f>
        <v>1081345.0800000005</v>
      </c>
    </row>
    <row r="6" spans="2:5" ht="20.100000000000001" customHeight="1" x14ac:dyDescent="0.25">
      <c r="B6" s="203" t="s">
        <v>245</v>
      </c>
      <c r="C6" s="227"/>
      <c r="D6" s="227"/>
    </row>
    <row r="7" spans="2:5" ht="20.100000000000001" customHeight="1" x14ac:dyDescent="0.25">
      <c r="B7" s="204" t="s">
        <v>261</v>
      </c>
      <c r="C7" s="227">
        <f>+RESULTAT!C32-RESULTAT!C16+SUMIFS(Donnees!AM$4:AM$999451,Donnees!AG$4:AG$999451,"79*",Donnees!AJ$4:AJ$999451,"RE*")+SUMIFS(Donnees!AM$4:AM$999451,Donnees!AG$4:AG$999451,"7817*",Donnees!AJ$4:AJ$999451,"RE*")</f>
        <v>-93482.000000000029</v>
      </c>
      <c r="D7" s="227">
        <f>+RESULTAT!D32-RESULTAT!D16+SUMIFS(Donnees!AP$4:AP$999451,Donnees!AG$4:AG$999451,"79*",Donnees!AJ$4:AJ$999451,"RE*")+SUMIFS(Donnees!AP$4:AP$999451,Donnees!AG$4:AG$999451,"7817*",Donnees!AJ$4:AJ$999451,"RE*")</f>
        <v>-46741.000000000015</v>
      </c>
    </row>
    <row r="8" spans="2:5" ht="20.100000000000001" customHeight="1" x14ac:dyDescent="0.25">
      <c r="B8" s="202" t="s">
        <v>271</v>
      </c>
      <c r="C8" s="227">
        <f>SUMIFS(Donnees!AM$4:AM$999451,Donnees!AG$4:AG$999451,"775*",Donnees!AJ$4:AJ$999451,"RE*")-SUMIFS(Donnees!AM$4:AM$999451,Donnees!AG$4:AG$999451,"675*",Donnees!AJ$4:AJ$999451,"RE*")</f>
        <v>-22238.82</v>
      </c>
      <c r="D8" s="227">
        <f>SUMIFS(Donnees!AP$4:AP$999451,Donnees!AG$4:AG$999451,"775*",Donnees!AJ$4:AJ$999451,"RE*")-SUMIFS(Donnees!AP$4:AP$999451,Donnees!AG$4:AG$999451,"675*",Donnees!AJ$4:AJ$999451,"RE*")</f>
        <v>-11119.41</v>
      </c>
    </row>
    <row r="9" spans="2:5" ht="20.100000000000001" customHeight="1" x14ac:dyDescent="0.25">
      <c r="B9" s="205" t="s">
        <v>262</v>
      </c>
      <c r="C9" s="228"/>
      <c r="D9" s="227"/>
      <c r="E9" t="s">
        <v>279</v>
      </c>
    </row>
    <row r="10" spans="2:5" ht="20.100000000000001" customHeight="1" x14ac:dyDescent="0.25">
      <c r="B10" s="222" t="s">
        <v>280</v>
      </c>
      <c r="C10" s="229">
        <f>C5+C7-C8+C9</f>
        <v>3424526.0400000126</v>
      </c>
      <c r="D10" s="230">
        <f>D5+D7-D8+D9</f>
        <v>1045723.4900000006</v>
      </c>
    </row>
    <row r="11" spans="2:5" ht="20.100000000000001" customHeight="1" x14ac:dyDescent="0.25">
      <c r="B11" s="223" t="s">
        <v>246</v>
      </c>
      <c r="C11" s="231">
        <f>SUM(C12:C14)</f>
        <v>1765212.04</v>
      </c>
      <c r="D11" s="231">
        <f>SUM(D12:D14)</f>
        <v>514980.68000000017</v>
      </c>
    </row>
    <row r="12" spans="2:5" ht="20.100000000000001" customHeight="1" x14ac:dyDescent="0.25">
      <c r="B12" s="202" t="s">
        <v>263</v>
      </c>
      <c r="C12" s="232">
        <f>+BFR!F13*-1</f>
        <v>-3121748.8099999996</v>
      </c>
      <c r="D12" s="227">
        <f>+BFR!G13*-1</f>
        <v>-144501.65999999992</v>
      </c>
    </row>
    <row r="13" spans="2:5" ht="20.100000000000001" customHeight="1" x14ac:dyDescent="0.25">
      <c r="B13" s="206" t="s">
        <v>264</v>
      </c>
      <c r="C13" s="232">
        <f>+BFR!F10-BFR!F19</f>
        <v>0</v>
      </c>
      <c r="D13" s="227">
        <f>+BFR!G10-BFR!G19</f>
        <v>0</v>
      </c>
    </row>
    <row r="14" spans="2:5" ht="20.100000000000001" customHeight="1" x14ac:dyDescent="0.25">
      <c r="B14" s="208" t="s">
        <v>265</v>
      </c>
      <c r="C14" s="233">
        <f>+BFR!F22</f>
        <v>4886960.8499999996</v>
      </c>
      <c r="D14" s="228">
        <f>+BFR!G22</f>
        <v>659482.34000000008</v>
      </c>
    </row>
    <row r="15" spans="2:5" ht="20.100000000000001" customHeight="1" thickBot="1" x14ac:dyDescent="0.3">
      <c r="B15" s="219" t="s">
        <v>247</v>
      </c>
      <c r="C15" s="234">
        <f>SUM(C10:C11)</f>
        <v>5189738.0800000131</v>
      </c>
      <c r="D15" s="235">
        <f>SUM(D10:D11)</f>
        <v>1560704.1700000009</v>
      </c>
    </row>
    <row r="16" spans="2:5" ht="20.100000000000001" customHeight="1" thickTop="1" x14ac:dyDescent="0.25">
      <c r="B16" s="220" t="s">
        <v>248</v>
      </c>
      <c r="C16" s="236"/>
      <c r="D16" s="237"/>
    </row>
    <row r="17" spans="1:5" ht="20.100000000000001" customHeight="1" x14ac:dyDescent="0.25">
      <c r="A17" s="3"/>
      <c r="B17" s="209" t="s">
        <v>249</v>
      </c>
      <c r="C17" s="238">
        <f>((SUMIFS(Donnees!AM$4:AM$999451,Donnees!AJ$4:AJ$999451,"PLNBFR31")-SUMIFS(Donnees!AP$4:AP$999451,Donnees!AJ$4:AJ$999451,"PLNBFR31"))+SUMIFS(Donnees!AM$4:AM$999451,Donnees!AG$4:AG$999451,"6751*",Donnees!AJ$4:AJ$999451,"RE*")+SUMIFS(Donnees!AM$4:AM$999451,Donnees!AG$4:AG$999451,"6752*",Donnees!AJ$4:AJ$999451,"RE*")+SUMIFS(Donnees!AM$4:AM$999451,Donnees!AJ$4:AJ$999451,"PLNBFR36"))*-1</f>
        <v>-46102.730000000076</v>
      </c>
      <c r="D17" s="238">
        <f>((SUMIFS(Donnees!AP$4:AP$999451,Donnees!AJ$4:AJ$999451,"PLNBFR31")-SUMIFS(Donnees!AS$4:AS$999451,Donnees!AJ$4:AJ$999451,"PLNBFR31"))+SUMIFS(Donnees!AP$4:AP$999451,Donnees!AG$4:AG$999451,"6751*",Donnees!AJ$4:AJ$999451,"RE*")+SUMIFS(Donnees!AP$4:AP$999451,Donnees!AG$4:AG$999451,"6752*",Donnees!AJ$4:AJ$999451,"RE*")+SUMIFS(Donnees!AP$4:AP$999451,Donnees!AJ$4:AJ$999451,"PLNBFR36"))*-1</f>
        <v>-5049.2000000000371</v>
      </c>
      <c r="E17" s="149" t="s">
        <v>278</v>
      </c>
    </row>
    <row r="18" spans="1:5" ht="20.100000000000001" customHeight="1" x14ac:dyDescent="0.25">
      <c r="A18" s="3"/>
      <c r="B18" s="203" t="s">
        <v>250</v>
      </c>
      <c r="C18" s="239">
        <f>((SUMIFS(Donnees!AM$4:AM$999408,Donnees!AJ$4:AJ$999408,"PLNBFR32")-SUMIFS(Donnees!AP$4:AP$999408,Donnees!AJ$4:AJ$999408,"PLNBFR32"))+SUMIFS(Donnees!AM$4:AM$999408,Donnees!AG$4:AG$999408,"6756*",Donnees!AJ$4:AJ$999408,"RE*")+SUMIFS(Donnees!AM$4:AM$999408,Donnees!AJ$4:AJ$999408,"PLNBFR37"))*-1</f>
        <v>-46543.969999999987</v>
      </c>
      <c r="D18" s="239">
        <f>((SUMIFS(Donnees!AP$4:AP$999408,Donnees!AJ$4:AJ$999408,"PLNBFR32")-SUMIFS(Donnees!AS$4:AS$999408,Donnees!AJ$4:AJ$999408,"PLNBFR32"))+SUMIFS(Donnees!AP$4:AP$999408,Donnees!AG$4:AG$999408,"6756*",Donnees!AJ$4:AJ$999408,"RE*")+SUMIFS(Donnees!AP$4:AP$999408,Donnees!AJ$4:AJ$999408,"PLNBFR37"))*-1</f>
        <v>574</v>
      </c>
      <c r="E18" t="s">
        <v>278</v>
      </c>
    </row>
    <row r="19" spans="1:5" ht="20.100000000000001" customHeight="1" x14ac:dyDescent="0.25">
      <c r="A19" s="3"/>
      <c r="B19" s="203" t="s">
        <v>251</v>
      </c>
      <c r="C19" s="240">
        <f>SUMIFS(Donnees!AM$4:AM$999451,Donnees!AG$4:AG$999451,"775*",Donnees!AJ$4:AJ$999451,"RE*")</f>
        <v>0</v>
      </c>
      <c r="D19" s="239">
        <f>SUMIFS(Donnees!AP$4:AP$999451,Donnees!AG$4:AG$999451,"775*",Donnees!AJ$4:AJ$999451,"RE*")</f>
        <v>0</v>
      </c>
      <c r="E19" t="s">
        <v>278</v>
      </c>
    </row>
    <row r="20" spans="1:5" ht="20.100000000000001" customHeight="1" x14ac:dyDescent="0.25">
      <c r="A20" s="3"/>
      <c r="B20" s="210" t="s">
        <v>252</v>
      </c>
      <c r="C20" s="241"/>
      <c r="D20" s="242"/>
      <c r="E20" t="s">
        <v>279</v>
      </c>
    </row>
    <row r="21" spans="1:5" ht="20.100000000000001" customHeight="1" thickBot="1" x14ac:dyDescent="0.3">
      <c r="A21" s="3"/>
      <c r="B21" s="217" t="s">
        <v>253</v>
      </c>
      <c r="C21" s="243">
        <f>SUM(C17:C20)</f>
        <v>-92646.70000000007</v>
      </c>
      <c r="D21" s="243">
        <f>SUM(D17:D20)</f>
        <v>-4475.2000000000371</v>
      </c>
    </row>
    <row r="22" spans="1:5" ht="20.100000000000001" customHeight="1" thickTop="1" x14ac:dyDescent="0.25">
      <c r="A22" s="3"/>
      <c r="B22" s="218" t="s">
        <v>254</v>
      </c>
      <c r="C22" s="244"/>
      <c r="D22" s="225"/>
    </row>
    <row r="23" spans="1:5" ht="20.100000000000001" customHeight="1" x14ac:dyDescent="0.25">
      <c r="A23" s="3"/>
      <c r="B23" s="209" t="s">
        <v>87</v>
      </c>
      <c r="C23" s="238">
        <f>SUMIFS(Donnees!AM$4:AM$999408,Donnees!AJ$4:AJ$999408,"BPDJ")-SUMIFS(Donnees!AP$4:AP$999408,Donnees!AJ$4:AJ$999408,"BPDJ")</f>
        <v>0</v>
      </c>
      <c r="D23" s="245">
        <f>SUMIFS(Donnees!AP$4:AP$999408,Donnees!AJ$4:AJ$999408,"BPDJ")-SUMIFS(Donnees!AS$4:AS$999408,Donnees!AJ$4:AJ$999408,"BPDJ")</f>
        <v>0</v>
      </c>
    </row>
    <row r="24" spans="1:5" ht="20.100000000000001" customHeight="1" x14ac:dyDescent="0.25">
      <c r="A24" s="3"/>
      <c r="B24" s="203" t="s">
        <v>272</v>
      </c>
      <c r="C24" s="245">
        <f>(SUMIFS(Donnees!AM$4:AM$999408,Donnees!AJ$4:AJ$999408,"BPDS")+SUMIFS(Donnees!AM$4:AM$999408,Donnees!AJ$4:AJ$999408,"BPDT")+SUMIFS(Donnees!AM$4:AM$999408,Donnees!AJ$4:AJ$999408,"BPDU")+SUMIFS(Donnees!AM$4:AM$999408,Donnees!AJ$4:AJ$999408,"BPDV"))-(SUMIFS(Donnees!AP$4:AP$999408,Donnees!AJ$4:AJ$999408,"BPDS")+SUMIFS(Donnees!AP$4:AP$999408,Donnees!AJ$4:AJ$999408,"BPDT")+SUMIFS(Donnees!AP$4:AP$999408,Donnees!AJ$4:AJ$999408,"BPDU")+SUMIFS(Donnees!AP$4:AP$999408,Donnees!AJ$4:AJ$999408,"BPDV"))</f>
        <v>828532.08000000007</v>
      </c>
      <c r="D24" s="245">
        <f>(SUMIFS(Donnees!AP$4:AP$999408,Donnees!AJ$4:AJ$999408,"BPDS")+SUMIFS(Donnees!AP$4:AP$999408,Donnees!AJ$4:AJ$999408,"BPDT")+SUMIFS(Donnees!AP$4:AP$999408,Donnees!AJ$4:AJ$999408,"BPDU")+SUMIFS(Donnees!AP$4:AP$999408,Donnees!AJ$4:AJ$999408,"BPDV"))-(SUMIFS(Donnees!AS$4:AS$999408,Donnees!AJ$4:AJ$999408,"BPDS")+SUMIFS(Donnees!AS$4:AS$999408,Donnees!AJ$4:AJ$999408,"BPDT")+SUMIFS(Donnees!AS$4:AS$999408,Donnees!AJ$4:AJ$999408,"BPDU")+SUMIFS(Donnees!AS$4:AS$999408,Donnees!AJ$4:AJ$999408,"BPDV"))</f>
        <v>6786.4500000000116</v>
      </c>
      <c r="E24" t="s">
        <v>278</v>
      </c>
    </row>
    <row r="25" spans="1:5" ht="20.100000000000001" customHeight="1" x14ac:dyDescent="0.25">
      <c r="A25" s="3"/>
      <c r="B25" s="211" t="s">
        <v>273</v>
      </c>
      <c r="C25" s="245"/>
      <c r="D25" s="245"/>
      <c r="E25" t="s">
        <v>278</v>
      </c>
    </row>
    <row r="26" spans="1:5" ht="20.100000000000001" customHeight="1" x14ac:dyDescent="0.25">
      <c r="A26" s="3"/>
      <c r="B26" s="203" t="s">
        <v>255</v>
      </c>
      <c r="C26" s="245">
        <f>(+'BILAN PASSIF'!C9+'BILAN PASSIF'!C10+'BILAN PASSIF'!C11+'BILAN PASSIF'!C12+'BILAN PASSIF'!C13)-(+'BILAN PASSIF'!D9+'BILAN PASSIF'!D10+'BILAN PASSIF'!D11+'BILAN PASSIF'!D12+'BILAN PASSIF'!D13)-'BILAN PASSIF'!D14</f>
        <v>-994422.81000000052</v>
      </c>
      <c r="D26" s="239">
        <f>(+SUMIFS(Donnees!AP$4:AP$999408,Donnees!AJ$4:AJ$999408,"BPDC")+SUMIFS(Donnees!AP$4:AP$999408,Donnees!AJ$4:AJ$999408,"BPDE")+SUMIFS(Donnees!AP$4:AP$999408,Donnees!AJ$4:AJ$999408,"BPDF")+SUMIFS(Donnees!AP$4:AP$999408,Donnees!AJ$4:AJ$999408,"BPDG")+SUMIFS(Donnees!AP$4:AP$999408,Donnees!AJ$4:AJ$999408,"BPDH"))-(+SUMIFS(Donnees!AS$4:AS$999408,Donnees!AJ$4:AJ$999408,"BPDC")+SUMIFS(Donnees!AS$4:AS$999408,Donnees!AJ$4:AJ$999408,"BPDE")+SUMIFS(Donnees!AS$4:AS$999408,Donnees!AJ$4:AJ$999408,"BPDF")+SUMIFS(Donnees!AS$4:AS$999408,Donnees!AJ$4:AJ$999408,"BPDG")+SUMIFS(Donnees!AS$4:AS$999408,Donnees!AJ$4:AJ$999408,"BPDH"))-(SUMIFS(Donnees!AS$4:AS$999408,Donnees!AJ$4:AJ$999408,"BPDI"))</f>
        <v>-1004400.0000000014</v>
      </c>
      <c r="E26" s="251"/>
    </row>
    <row r="27" spans="1:5" ht="20.100000000000001" customHeight="1" x14ac:dyDescent="0.25">
      <c r="A27" s="3"/>
      <c r="B27" s="211" t="s">
        <v>274</v>
      </c>
      <c r="C27" s="242">
        <f>(SUMIFS(Donnees!AM$4:AM$999408,Donnees!AJ$4:AJ$999408,"BPDA")+SUMIFS(Donnees!AM$4:AM$999408,Donnees!AJ$4:AJ$999408,"BPDB")+SUMIFS(Donnees!AM$4:AM$999408,Donnees!AJ$4:AJ$999408,"BPDC"))-(SUMIFS(Donnees!AP$4:AP$999408,Donnees!AJ$4:AJ$999408,"BPDA")+SUMIFS(Donnees!AP$4:AP$999408,Donnees!AJ$4:AJ$999408,"BPDB")+SUMIFS(Donnees!AP$4:AP$999408,Donnees!AJ$4:AJ$999408,"BPDC"))</f>
        <v>711450</v>
      </c>
      <c r="D27" s="242">
        <f>(SUMIFS(Donnees!AP$4:AP$999408,Donnees!AJ$4:AJ$999408,"BPDA")+SUMIFS(Donnees!AP$4:AP$999408,Donnees!AJ$4:AJ$999408,"BPDB")+SUMIFS(Donnees!AP$4:AP$999408,Donnees!AJ$4:AJ$999408,"BPDC"))-(SUMIFS(Donnees!AS$4:AS$999408,Donnees!AJ$4:AJ$999408,"BPDA")+SUMIFS(Donnees!AS$4:AS$999408,Donnees!AJ$4:AJ$999408,"BPDB")+SUMIFS(Donnees!AS$4:AS$999408,Donnees!AJ$4:AJ$999408,"BPDC"))</f>
        <v>0</v>
      </c>
    </row>
    <row r="28" spans="1:5" ht="20.100000000000001" customHeight="1" thickBot="1" x14ac:dyDescent="0.3">
      <c r="A28" s="3"/>
      <c r="B28" s="216" t="s">
        <v>256</v>
      </c>
      <c r="C28" s="246">
        <f>SUM(C23:C27)</f>
        <v>545559.26999999955</v>
      </c>
      <c r="D28" s="246">
        <f>SUM(D23:D27)</f>
        <v>-997613.55000000144</v>
      </c>
    </row>
    <row r="29" spans="1:5" ht="20.100000000000001" customHeight="1" thickTop="1" thickBot="1" x14ac:dyDescent="0.3">
      <c r="A29" s="3"/>
      <c r="B29" s="214" t="s">
        <v>257</v>
      </c>
      <c r="C29" s="247">
        <f>C15+C21+C28</f>
        <v>5642650.6500000125</v>
      </c>
      <c r="D29" s="247">
        <f>D15+D21+D28</f>
        <v>558615.41999999946</v>
      </c>
    </row>
    <row r="30" spans="1:5" ht="20.100000000000001" customHeight="1" thickTop="1" x14ac:dyDescent="0.25">
      <c r="A30" s="3"/>
      <c r="B30" s="211" t="s">
        <v>258</v>
      </c>
      <c r="C30" s="245">
        <f>SUMIFS(Donnees!AP$4:AP$999408,Donnees!AJ$4:AJ$999408,"BACD")+SUMIFS(Donnees!AP$4:AP$999408,Donnees!AJ$4:AJ$999408,"BACF")</f>
        <v>3051481.23</v>
      </c>
      <c r="D30" s="240">
        <f>SUMIFS(Donnees!AS$4:AS$999408,Donnees!AJ$4:AJ$999408,"BACD")+SUMIFS(Donnees!AS$4:AS$999408,Donnees!AJ$4:AJ$999408,"BACF")</f>
        <v>2476139.61</v>
      </c>
    </row>
    <row r="31" spans="1:5" ht="20.100000000000001" customHeight="1" x14ac:dyDescent="0.25">
      <c r="A31" s="3"/>
      <c r="B31" s="210" t="s">
        <v>259</v>
      </c>
      <c r="C31" s="242">
        <f>SUMIFS(Donnees!AM$4:AM$999408,Donnees!AJ$4:AJ$999408,"BACD")+SUMIFS(Donnees!AM$4:AM$999408,Donnees!AJ$4:AJ$999408,"BACF")</f>
        <v>9484164.5399999991</v>
      </c>
      <c r="D31" s="241">
        <f>SUMIFS(Donnees!AP$4:AP$999408,Donnees!AJ$4:AJ$999408,"BACD")+SUMIFS(Donnees!AP$4:AP$999408,Donnees!AJ$4:AJ$999408,"BACF")</f>
        <v>3051481.23</v>
      </c>
    </row>
    <row r="32" spans="1:5" ht="20.100000000000001" customHeight="1" thickBot="1" x14ac:dyDescent="0.3">
      <c r="A32" s="3"/>
      <c r="B32" s="215" t="s">
        <v>260</v>
      </c>
      <c r="C32" s="248">
        <f>C31-C30</f>
        <v>6432683.3099999987</v>
      </c>
      <c r="D32" s="248">
        <f>D31-D30</f>
        <v>575341.62000000011</v>
      </c>
    </row>
    <row r="33" spans="2:4" ht="16.5" thickTop="1" thickBot="1" x14ac:dyDescent="0.3">
      <c r="C33" s="249"/>
      <c r="D33" s="249"/>
    </row>
    <row r="34" spans="2:4" ht="15.75" thickBot="1" x14ac:dyDescent="0.3">
      <c r="B34" s="224" t="s">
        <v>275</v>
      </c>
      <c r="C34" s="250">
        <f>ROUND(+C29-C32,2)</f>
        <v>-790032.66</v>
      </c>
      <c r="D34" s="250">
        <f>ROUND(+D29-D32,2)</f>
        <v>-16726.2</v>
      </c>
    </row>
  </sheetData>
  <mergeCells count="2">
    <mergeCell ref="C1:D1"/>
    <mergeCell ref="C2:D2"/>
  </mergeCells>
  <conditionalFormatting sqref="C34:D34">
    <cfRule type="cellIs" dxfId="0" priority="1" operator="notEqual">
      <formula>0</formula>
    </cfRule>
  </conditionalFormatting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showGridLines="0" zoomScaleNormal="100" workbookViewId="0"/>
  </sheetViews>
  <sheetFormatPr baseColWidth="10" defaultRowHeight="15" x14ac:dyDescent="0.25"/>
  <cols>
    <col min="1" max="1" width="3.7109375" customWidth="1"/>
    <col min="2" max="2" width="70.7109375" customWidth="1"/>
    <col min="3" max="4" width="20.7109375" customWidth="1"/>
  </cols>
  <sheetData>
    <row r="1" spans="1:4" s="19" customFormat="1" ht="20.100000000000001" customHeight="1" x14ac:dyDescent="0.25">
      <c r="B1" s="2" t="str">
        <f>CONCATENATE("Période clôturée au : ",Donnees!K2)</f>
        <v>Période clôturée au : 31/12/2016</v>
      </c>
      <c r="C1" s="338" t="str">
        <f>CONCATENATE("Exercice du ",Donnees!M2," au ",Donnees!N2)</f>
        <v>Exercice du 01/01/2014 au 31/12/2014</v>
      </c>
      <c r="D1" s="338"/>
    </row>
    <row r="2" spans="1:4" ht="24.95" customHeight="1" x14ac:dyDescent="0.25">
      <c r="C2" s="329" t="s">
        <v>46</v>
      </c>
      <c r="D2" s="329"/>
    </row>
    <row r="3" spans="1:4" ht="20.100000000000001" customHeight="1" thickBot="1" x14ac:dyDescent="0.3">
      <c r="B3" s="2" t="str">
        <f>CONCATENATE("Etablissement : ",Donnees!B1," ",Donnees!C1)</f>
        <v>Etablissement : PB QUALIAC</v>
      </c>
    </row>
    <row r="4" spans="1:4" ht="20.100000000000001" customHeight="1" thickTop="1" thickBot="1" x14ac:dyDescent="0.3">
      <c r="B4" s="6" t="s">
        <v>1</v>
      </c>
      <c r="C4" s="6" t="str">
        <f>CONCATENATE(MID(Donnees!B2,4,7)," à ",MID(Donnees!C2,4,7))</f>
        <v>01/2013 à 12/2013</v>
      </c>
      <c r="D4" s="7" t="str">
        <f>CONCATENATE(MID(Donnees!E2,4,7)," à ",MID(Donnees!F2,4,7))</f>
        <v>01/2012 à 12/2012</v>
      </c>
    </row>
    <row r="5" spans="1:4" ht="20.100000000000001" customHeight="1" thickTop="1" x14ac:dyDescent="0.25">
      <c r="A5" s="3"/>
      <c r="B5" s="80" t="s">
        <v>28</v>
      </c>
      <c r="C5" s="22">
        <f>SUMIFS(Donnees!AM$4:AM$999408,Donnees!AJ$4:AJ$999408,"CAF1")</f>
        <v>3731751.6800000058</v>
      </c>
      <c r="D5" s="22">
        <f>SUMIFS(Donnees!AP$4:AP$999408,Donnees!AJ$4:AJ$999408,"CAF1")</f>
        <v>1740008.8500000022</v>
      </c>
    </row>
    <row r="6" spans="1:4" ht="20.100000000000001" customHeight="1" x14ac:dyDescent="0.25">
      <c r="A6" s="3"/>
      <c r="B6" s="192" t="s">
        <v>31</v>
      </c>
      <c r="C6" s="86">
        <f>SUMIFS(Donnees!AM$4:AM$999408,Donnees!AJ$4:AJ$999408,"CAF2")</f>
        <v>33411.4</v>
      </c>
      <c r="D6" s="86">
        <f>SUMIFS(Donnees!AP$4:AP$999408,Donnees!AJ$4:AJ$999408,"CAF2")</f>
        <v>16705.7</v>
      </c>
    </row>
    <row r="7" spans="1:4" ht="20.100000000000001" customHeight="1" x14ac:dyDescent="0.25">
      <c r="A7" s="3"/>
      <c r="B7" s="192" t="s">
        <v>47</v>
      </c>
      <c r="C7" s="86">
        <f>SUMIFS(Donnees!AM$4:AM$999408,Donnees!AJ$4:AJ$999408,"CAF3")</f>
        <v>-26746.92</v>
      </c>
      <c r="D7" s="86">
        <f>SUMIFS(Donnees!AP$4:AP$999408,Donnees!AJ$4:AJ$999408,"CAF3")</f>
        <v>-13373.46</v>
      </c>
    </row>
    <row r="8" spans="1:4" ht="20.100000000000001" customHeight="1" x14ac:dyDescent="0.25">
      <c r="A8" s="3"/>
      <c r="B8" s="192" t="s">
        <v>48</v>
      </c>
      <c r="C8" s="86">
        <f>SUMIFS(Donnees!AM$4:AM$999408,Donnees!AJ$4:AJ$999408,"CAF4")</f>
        <v>76.72</v>
      </c>
      <c r="D8" s="86">
        <f>SUMIFS(Donnees!AP$4:AP$999408,Donnees!AJ$4:AJ$999408,"CAF4")</f>
        <v>38.36</v>
      </c>
    </row>
    <row r="9" spans="1:4" ht="20.100000000000001" customHeight="1" x14ac:dyDescent="0.25">
      <c r="A9" s="3"/>
      <c r="B9" s="192" t="s">
        <v>33</v>
      </c>
      <c r="C9" s="86">
        <f>SUMIFS(Donnees!AM$4:AM$999408,Donnees!AJ$4:AJ$999408,"CAF5")</f>
        <v>0</v>
      </c>
      <c r="D9" s="86">
        <f>SUMIFS(Donnees!AP$4:AP$999408,Donnees!AJ$4:AJ$999408,"CAF5")</f>
        <v>0</v>
      </c>
    </row>
    <row r="10" spans="1:4" ht="20.100000000000001" customHeight="1" x14ac:dyDescent="0.25">
      <c r="A10" s="3"/>
      <c r="B10" s="192" t="s">
        <v>34</v>
      </c>
      <c r="C10" s="86">
        <f>SUMIFS(Donnees!AM$4:AM$999408,Donnees!AJ$4:AJ$999408,"CAF6")</f>
        <v>90081.06</v>
      </c>
      <c r="D10" s="86">
        <f>SUMIFS(Donnees!AP$4:AP$999408,Donnees!AJ$4:AJ$999408,"CAF6")</f>
        <v>45040.53</v>
      </c>
    </row>
    <row r="11" spans="1:4" ht="20.100000000000001" customHeight="1" x14ac:dyDescent="0.25">
      <c r="A11" s="3"/>
      <c r="B11" s="192" t="s">
        <v>35</v>
      </c>
      <c r="C11" s="86">
        <f>SUMIFS(Donnees!AM$4:AM$999408,Donnees!AJ$4:AJ$999408,"CAF7")</f>
        <v>-2017.06</v>
      </c>
      <c r="D11" s="86">
        <f>SUMIFS(Donnees!AP$4:AP$999408,Donnees!AJ$4:AJ$999408,"CAF7")</f>
        <v>-1008.53</v>
      </c>
    </row>
    <row r="12" spans="1:4" ht="20.100000000000001" customHeight="1" x14ac:dyDescent="0.25">
      <c r="A12" s="3"/>
      <c r="B12" s="192" t="s">
        <v>37</v>
      </c>
      <c r="C12" s="86">
        <f>SUMIFS(Donnees!AM$4:AM$999408,Donnees!AJ$4:AJ$999408,"CAF8")</f>
        <v>95785.84</v>
      </c>
      <c r="D12" s="86">
        <f>SUMIFS(Donnees!AP$4:AP$999408,Donnees!AJ$4:AJ$999408,"CAF8")</f>
        <v>47892.92</v>
      </c>
    </row>
    <row r="13" spans="1:4" ht="20.100000000000001" customHeight="1" x14ac:dyDescent="0.25">
      <c r="A13" s="3"/>
      <c r="B13" s="192" t="s">
        <v>38</v>
      </c>
      <c r="C13" s="86">
        <f>SUMIFS(Donnees!AM$4:AM$999408,Donnees!AJ$4:AJ$999408,"CAF9")</f>
        <v>-369.76</v>
      </c>
      <c r="D13" s="86">
        <f>SUMIFS(Donnees!AP$4:AP$999408,Donnees!AJ$4:AJ$999408,"CAF9")</f>
        <v>-184.88</v>
      </c>
    </row>
    <row r="14" spans="1:4" ht="20.100000000000001" customHeight="1" x14ac:dyDescent="0.25">
      <c r="A14" s="3"/>
      <c r="B14" s="192" t="s">
        <v>49</v>
      </c>
      <c r="C14" s="86">
        <f>SUMIFS(Donnees!AM$4:AM$999408,Donnees!AJ$4:AJ$999408,"CAF10")</f>
        <v>-481680</v>
      </c>
      <c r="D14" s="86">
        <f>SUMIFS(Donnees!AP$4:AP$999408,Donnees!AJ$4:AJ$999408,"CAF10")</f>
        <v>-240840</v>
      </c>
    </row>
    <row r="15" spans="1:4" ht="20.100000000000001" customHeight="1" thickBot="1" x14ac:dyDescent="0.3">
      <c r="A15" s="3"/>
      <c r="B15" s="51" t="s">
        <v>41</v>
      </c>
      <c r="C15" s="49">
        <f>SUMIFS(Donnees!AM$4:AM$999408,Donnees!AJ$4:AJ$999408,"CAF11")</f>
        <v>-1097112</v>
      </c>
      <c r="D15" s="9">
        <f>SUMIFS(Donnees!AP$4:AP$999408,Donnees!AJ$4:AJ$999408,"CAF11")</f>
        <v>-548556</v>
      </c>
    </row>
    <row r="16" spans="1:4" ht="20.100000000000001" customHeight="1" thickTop="1" thickBot="1" x14ac:dyDescent="0.3">
      <c r="B16" s="20" t="str">
        <f>CONCATENATE("TOTAL ",Donnees!B1," ",Donnees!C1)</f>
        <v>TOTAL PB QUALIAC</v>
      </c>
      <c r="C16" s="11">
        <f>SUM(C5:C15)</f>
        <v>2343180.960000006</v>
      </c>
      <c r="D16" s="23">
        <f>SUM(D5:D15)</f>
        <v>1045723.4900000023</v>
      </c>
    </row>
    <row r="17" ht="15.75" thickTop="1" x14ac:dyDescent="0.25"/>
  </sheetData>
  <mergeCells count="2">
    <mergeCell ref="C1:D1"/>
    <mergeCell ref="C2:D2"/>
  </mergeCells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C0172-1CC1-4B05-BBA6-4F04FF63C865}">
  <dimension ref="B1:G21"/>
  <sheetViews>
    <sheetView workbookViewId="0"/>
  </sheetViews>
  <sheetFormatPr baseColWidth="10" defaultRowHeight="15" x14ac:dyDescent="0.25"/>
  <cols>
    <col min="1" max="1" width="3.7109375" style="252" customWidth="1"/>
    <col min="2" max="2" width="65.140625" style="252" customWidth="1"/>
    <col min="3" max="4" width="20.7109375" style="252" customWidth="1"/>
    <col min="5" max="5" width="61.5703125" style="252" customWidth="1"/>
    <col min="6" max="7" width="20.7109375" style="252" customWidth="1"/>
    <col min="8" max="16384" width="11.42578125" style="252"/>
  </cols>
  <sheetData>
    <row r="1" spans="2:7" ht="19.5" customHeight="1" x14ac:dyDescent="0.25">
      <c r="B1" s="323" t="str">
        <f>CONCATENATE("Période clôturée au : ",Donnees!K2)</f>
        <v>Période clôturée au : 31/12/2016</v>
      </c>
      <c r="E1" s="340" t="str">
        <f>CONCATENATE("Exercice du ",Donnees!M2," au ",Donnees!N2)</f>
        <v>Exercice du 01/01/2014 au 31/12/2014</v>
      </c>
      <c r="F1" s="340"/>
      <c r="G1" s="340"/>
    </row>
    <row r="3" spans="2:7" x14ac:dyDescent="0.25">
      <c r="B3" s="339" t="s">
        <v>287</v>
      </c>
      <c r="C3" s="339"/>
      <c r="D3" s="339"/>
      <c r="E3" s="339"/>
      <c r="F3" s="339"/>
      <c r="G3" s="339"/>
    </row>
    <row r="5" spans="2:7" ht="18.75" x14ac:dyDescent="0.3">
      <c r="B5" s="266" t="s">
        <v>282</v>
      </c>
      <c r="C5" s="322" t="str">
        <f>CONCATENATE("Exercice ",MID(Donnees!B2,7,10))</f>
        <v>Exercice 2013</v>
      </c>
      <c r="D5" s="322" t="str">
        <f>CONCATENATE("Exercice ",MID(Donnees!E2,7,10))</f>
        <v>Exercice 2012</v>
      </c>
      <c r="E5" s="267" t="s">
        <v>288</v>
      </c>
      <c r="F5" s="322" t="str">
        <f>CONCATENATE("Exercice ",MID(Donnees!B2,7,10))</f>
        <v>Exercice 2013</v>
      </c>
      <c r="G5" s="322" t="str">
        <f>CONCATENATE("Exercice ",MID(Donnees!E2,7,10))</f>
        <v>Exercice 2012</v>
      </c>
    </row>
    <row r="6" spans="2:7" x14ac:dyDescent="0.25">
      <c r="B6" s="253" t="s">
        <v>301</v>
      </c>
      <c r="C6" s="272">
        <f>SUMIFS(Donnees!AM$4:AM$999408,Donnees!AJ$4:AJ$999408,"TDF1DIS")</f>
        <v>0</v>
      </c>
      <c r="D6" s="271">
        <f>SUMIFS(Donnees!AP$4:AP$999408,Donnees!AJ$4:AJ$999408,"TDF1DIS")</f>
        <v>0</v>
      </c>
      <c r="E6" s="254" t="s">
        <v>289</v>
      </c>
      <c r="F6" s="271">
        <f>CAF!C16</f>
        <v>2343180.960000006</v>
      </c>
      <c r="G6" s="271">
        <f>CAF!D16</f>
        <v>1045723.4900000023</v>
      </c>
    </row>
    <row r="7" spans="2:7" x14ac:dyDescent="0.25">
      <c r="B7" s="255" t="s">
        <v>283</v>
      </c>
      <c r="C7" s="273"/>
      <c r="D7" s="274"/>
      <c r="E7" s="256" t="s">
        <v>290</v>
      </c>
      <c r="F7" s="274"/>
      <c r="G7" s="274"/>
    </row>
    <row r="8" spans="2:7" x14ac:dyDescent="0.25">
      <c r="B8" s="257" t="s">
        <v>56</v>
      </c>
      <c r="C8" s="275">
        <f>SUMIFS(Donnees!AM$4:AM$999408,Donnees!I$4:I$999408,"TDF1BJ1")</f>
        <v>-31652</v>
      </c>
      <c r="D8" s="275">
        <f>SUMIFS(Donnees!AP$4:AP$999408,Donnees!I$4:I$999408,"TDF1BJ1")</f>
        <v>-43963.89</v>
      </c>
      <c r="E8" s="258" t="s">
        <v>291</v>
      </c>
      <c r="F8" s="274"/>
      <c r="G8" s="274"/>
    </row>
    <row r="9" spans="2:7" x14ac:dyDescent="0.25">
      <c r="B9" s="259" t="s">
        <v>60</v>
      </c>
      <c r="C9" s="276">
        <f>SUMIFS(Donnees!AM$4:AM$999408,Donnees!I$4:I$999408,"TDF1BJ2")</f>
        <v>-73058</v>
      </c>
      <c r="D9" s="276">
        <f>SUMIFS(Donnees!AP$4:AP$999408,Donnees!I$4:I$999408,"TDF1BJ2")</f>
        <v>-20253.560000000001</v>
      </c>
      <c r="E9" s="260" t="s">
        <v>292</v>
      </c>
      <c r="F9" s="275">
        <f>SUMIFS(Donnees!AM$4:AM$999408,Donnees!AJ$4:AJ$999408,"TDF1CE1")</f>
        <v>0</v>
      </c>
      <c r="G9" s="275">
        <f>SUMIFS(Donnees!AP$4:AP$999408,Donnees!AJ$4:AJ$999408,"TDF1CE1")</f>
        <v>0</v>
      </c>
    </row>
    <row r="10" spans="2:7" x14ac:dyDescent="0.25">
      <c r="B10" s="259" t="s">
        <v>66</v>
      </c>
      <c r="C10" s="276">
        <f>SUMIFS(Donnees!AM$4:AM$999408,Donnees!I$4:I$999408,"TDF1BJ3")</f>
        <v>-11614.26</v>
      </c>
      <c r="D10" s="276">
        <f>SUMIFS(Donnees!AP$4:AP$999408,Donnees!I$4:I$999408,"TDF1BJ3")</f>
        <v>-574</v>
      </c>
      <c r="E10" s="261" t="s">
        <v>293</v>
      </c>
      <c r="F10" s="275">
        <f>SUMIFS(Donnees!AM$4:AM$999408,Donnees!AJ$4:AJ$999408,"TDF1CE2")</f>
        <v>0</v>
      </c>
      <c r="G10" s="275">
        <f>SUMIFS(Donnees!AP$4:AP$999408,Donnees!AJ$4:AJ$999408,"TDF1CE2")</f>
        <v>0</v>
      </c>
    </row>
    <row r="11" spans="2:7" x14ac:dyDescent="0.25">
      <c r="B11" s="262" t="s">
        <v>284</v>
      </c>
      <c r="C11" s="276">
        <f>SUMIFS(Donnees!AM$4:AM$999408,Donnees!AJ$4:AJ$999408,"TDF1CL")</f>
        <v>0</v>
      </c>
      <c r="D11" s="276">
        <f>SUMIFS(Donnees!AP$4:AP$999408,Donnees!AJ$4:AJ$999408,"TDF1CL")</f>
        <v>0</v>
      </c>
      <c r="E11" s="326" t="s">
        <v>306</v>
      </c>
      <c r="F11" s="275">
        <f>SUMIFS(Donnees!AM$4:AM$999408,Donnees!AJ$4:AJ$999408,"TDF1CE3")</f>
        <v>0</v>
      </c>
      <c r="G11" s="275">
        <f>SUMIFS(Donnees!AP$4:AP$999408,Donnees!AJ$4:AJ$999408,"TDF1CE3")</f>
        <v>0</v>
      </c>
    </row>
    <row r="12" spans="2:7" x14ac:dyDescent="0.25">
      <c r="B12" s="262" t="s">
        <v>285</v>
      </c>
      <c r="C12" s="276">
        <f>SUMIFS(Donnees!AM$4:AM$999408,Donnees!AJ$4:AJ$999408,"TDF1RC")</f>
        <v>0</v>
      </c>
      <c r="D12" s="276">
        <f>SUMIFS(Donnees!AP$4:AP$999408,Donnees!AJ$4:AJ$999408,"TDF1RC")</f>
        <v>0</v>
      </c>
      <c r="E12" s="255" t="s">
        <v>305</v>
      </c>
      <c r="F12" s="274"/>
      <c r="G12" s="274"/>
    </row>
    <row r="13" spans="2:7" x14ac:dyDescent="0.25">
      <c r="B13" s="262" t="s">
        <v>286</v>
      </c>
      <c r="C13" s="276">
        <f>SUMIFS(Donnees!AM$4:AM$999408,Donnees!AJ$4:AJ$999408,"TDF1RD")</f>
        <v>0</v>
      </c>
      <c r="D13" s="276">
        <f>SUMIFS(Donnees!AP$4:AP$999408,Donnees!AJ$4:AJ$999408,"TDF1RD")</f>
        <v>0</v>
      </c>
      <c r="E13" s="257" t="s">
        <v>294</v>
      </c>
      <c r="F13" s="280">
        <f>SUMIFS(Donnees!AM$4:AM$999408,Donnees!I$4:I$999408,"TDF1AC1")</f>
        <v>0</v>
      </c>
      <c r="G13" s="280">
        <f>SUMIFS(Donnees!AP$4:AP$999408,Donnees!I$4:I$999408,"TDF1AC1")</f>
        <v>0</v>
      </c>
    </row>
    <row r="14" spans="2:7" x14ac:dyDescent="0.25">
      <c r="B14" s="255"/>
      <c r="C14" s="277"/>
      <c r="D14" s="277"/>
      <c r="E14" s="259" t="s">
        <v>295</v>
      </c>
      <c r="F14" s="275">
        <f>SUMIFS(Donnees!AM$4:AM$999408,Donnees!AJ$4:AJ$999408,"TDF1AC2")</f>
        <v>0</v>
      </c>
      <c r="G14" s="275">
        <f>SUMIFS(Donnees!AP$4:AP$999408,Donnees!AJ$4:AJ$999408,"TDF1AC2")</f>
        <v>0</v>
      </c>
    </row>
    <row r="15" spans="2:7" x14ac:dyDescent="0.25">
      <c r="B15" s="264"/>
      <c r="C15" s="278"/>
      <c r="D15" s="278"/>
      <c r="E15" s="263" t="s">
        <v>296</v>
      </c>
      <c r="F15" s="275">
        <f>SUMIFS(Donnees!AM$4:AM$999408,Donnees!AJ$4:AJ$999408,"TDF1DA")</f>
        <v>6000</v>
      </c>
      <c r="G15" s="275">
        <f>SUMIFS(Donnees!AP$4:AP$999408,Donnees!AJ$4:AJ$999408,"TDF1DA")</f>
        <v>20856.34</v>
      </c>
    </row>
    <row r="16" spans="2:7" x14ac:dyDescent="0.25">
      <c r="B16" s="268" t="s">
        <v>297</v>
      </c>
      <c r="C16" s="279">
        <f>SUM(C6:C15)</f>
        <v>-116324.26</v>
      </c>
      <c r="D16" s="279">
        <f>SUM(D6:D15)</f>
        <v>-64791.45</v>
      </c>
      <c r="E16" s="269" t="s">
        <v>298</v>
      </c>
      <c r="F16" s="279">
        <f>SUM(F6:F15)</f>
        <v>2349180.960000006</v>
      </c>
      <c r="G16" s="279">
        <f>SUM(G6:G15)</f>
        <v>1066579.8300000024</v>
      </c>
    </row>
    <row r="17" spans="2:7" x14ac:dyDescent="0.25">
      <c r="B17" s="264" t="s">
        <v>299</v>
      </c>
      <c r="C17" s="327">
        <f>IF(F16&gt;=C16,F16-C16,0)</f>
        <v>2465505.2200000058</v>
      </c>
      <c r="D17" s="327">
        <f>IF(G16&gt;=D16,G16-D16,0)</f>
        <v>1131371.2800000024</v>
      </c>
      <c r="E17" s="265" t="s">
        <v>300</v>
      </c>
      <c r="F17" s="327">
        <f>IF(C16&gt;=F16,C16-F16,0)</f>
        <v>0</v>
      </c>
      <c r="G17" s="327">
        <f>IF(D16&gt;=G16,D16-G16,0)</f>
        <v>0</v>
      </c>
    </row>
    <row r="19" spans="2:7" x14ac:dyDescent="0.25">
      <c r="B19" s="270" t="s">
        <v>302</v>
      </c>
    </row>
    <row r="20" spans="2:7" x14ac:dyDescent="0.25">
      <c r="B20" s="270" t="s">
        <v>303</v>
      </c>
    </row>
    <row r="21" spans="2:7" x14ac:dyDescent="0.25">
      <c r="B21" s="270" t="s">
        <v>304</v>
      </c>
    </row>
  </sheetData>
  <mergeCells count="2">
    <mergeCell ref="B3:G3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FB71-50A6-47AC-A6E0-EDF5480B8E50}">
  <dimension ref="B1:H41"/>
  <sheetViews>
    <sheetView zoomScaleNormal="100" workbookViewId="0"/>
  </sheetViews>
  <sheetFormatPr baseColWidth="10" defaultRowHeight="15" x14ac:dyDescent="0.25"/>
  <cols>
    <col min="1" max="1" width="3.7109375" style="252" customWidth="1"/>
    <col min="2" max="2" width="74.7109375" style="252" customWidth="1"/>
    <col min="3" max="5" width="20.7109375" style="252" customWidth="1"/>
    <col min="6" max="7" width="20.7109375" style="252" hidden="1" customWidth="1"/>
    <col min="8" max="8" width="20.85546875" style="252" customWidth="1"/>
    <col min="9" max="16384" width="11.42578125" style="252"/>
  </cols>
  <sheetData>
    <row r="1" spans="2:8" ht="19.5" customHeight="1" x14ac:dyDescent="0.25">
      <c r="B1" s="323" t="str">
        <f>CONCATENATE("Période clôturée au : ",Donnees!K2)</f>
        <v>Période clôturée au : 31/12/2016</v>
      </c>
      <c r="D1" s="340" t="str">
        <f>CONCATENATE("Exercice du ",Donnees!M2," au ",Donnees!N2)</f>
        <v>Exercice du 01/01/2014 au 31/12/2014</v>
      </c>
      <c r="E1" s="340"/>
      <c r="F1" s="340"/>
      <c r="G1" s="340"/>
      <c r="H1" s="340"/>
    </row>
    <row r="3" spans="2:8" x14ac:dyDescent="0.25">
      <c r="B3" s="339" t="s">
        <v>342</v>
      </c>
      <c r="C3" s="339"/>
      <c r="D3" s="339"/>
      <c r="E3" s="339"/>
      <c r="F3" s="339"/>
      <c r="G3" s="339"/>
    </row>
    <row r="5" spans="2:8" x14ac:dyDescent="0.25">
      <c r="B5" s="342" t="s">
        <v>307</v>
      </c>
      <c r="C5" s="341" t="s">
        <v>308</v>
      </c>
      <c r="D5" s="341"/>
      <c r="E5" s="341"/>
      <c r="F5" s="302"/>
      <c r="G5" s="302"/>
      <c r="H5" s="316" t="s">
        <v>309</v>
      </c>
    </row>
    <row r="6" spans="2:8" x14ac:dyDescent="0.25">
      <c r="B6" s="342"/>
      <c r="C6" s="303" t="s">
        <v>310</v>
      </c>
      <c r="D6" s="303" t="s">
        <v>311</v>
      </c>
      <c r="E6" s="303" t="s">
        <v>312</v>
      </c>
      <c r="F6" s="303" t="s">
        <v>310</v>
      </c>
      <c r="G6" s="303" t="s">
        <v>311</v>
      </c>
      <c r="H6" s="303" t="s">
        <v>312</v>
      </c>
    </row>
    <row r="7" spans="2:8" x14ac:dyDescent="0.25">
      <c r="B7" s="342"/>
      <c r="C7" s="304">
        <v>1</v>
      </c>
      <c r="D7" s="304">
        <v>2</v>
      </c>
      <c r="E7" s="305" t="s">
        <v>313</v>
      </c>
      <c r="F7" s="304"/>
      <c r="G7" s="304"/>
      <c r="H7" s="304"/>
    </row>
    <row r="8" spans="2:8" x14ac:dyDescent="0.25">
      <c r="B8" s="294" t="s">
        <v>314</v>
      </c>
      <c r="C8" s="292"/>
      <c r="D8" s="292"/>
      <c r="E8" s="290"/>
      <c r="F8" s="292"/>
      <c r="G8" s="292"/>
      <c r="H8" s="290"/>
    </row>
    <row r="9" spans="2:8" x14ac:dyDescent="0.25">
      <c r="B9" s="295" t="s">
        <v>315</v>
      </c>
      <c r="C9" s="253"/>
      <c r="D9" s="253"/>
      <c r="E9" s="301"/>
      <c r="F9" s="253"/>
      <c r="G9" s="253"/>
      <c r="H9" s="301"/>
    </row>
    <row r="10" spans="2:8" x14ac:dyDescent="0.25">
      <c r="B10" s="306" t="s">
        <v>316</v>
      </c>
      <c r="C10" s="317">
        <f>IF(SUMIFS(Donnees!AP$4:AP$999408,Donnees!$G$4:$G$999408,"TDF2J1")&gt;SUMIFS(Donnees!AM$4:AM$999408,Donnees!$G$4:$G$999408,"TDF2J1"),SUMIFS(Donnees!AP$4:AP$999408,Donnees!$G$4:$G$999408,"TDF2J1")-SUMIFS(Donnees!AM$4:AM$999408,Donnees!$G$4:$G$999408,"TDF2J1"),0)</f>
        <v>0</v>
      </c>
      <c r="D10" s="317">
        <f>IF(SUMIFS(Donnees!AM$4:AM$999408,Donnees!$G$4:$G$999408,"TDF2J1")&gt;SUMIFS(Donnees!AP$4:AP$999408,Donnees!$G$4:$G$999408,"TDF2J1"),SUMIFS(Donnees!AM$4:AM$999408,Donnees!$G$4:$G$999408,"TDF2J1")-SUMIFS(Donnees!AP$4:AP$999408,Donnees!$G$4:$G$999408,"TDF2J1"),0)</f>
        <v>37474.929999999993</v>
      </c>
      <c r="E10" s="301"/>
      <c r="F10" s="317">
        <f>IF(SUMIFS(Donnees!AS$4:AS$999408,Donnees!$G$4:$G$999408,"TDF2J1")&gt;SUMIFS(Donnees!AP$4:AP$999408,Donnees!$G$4:$G$999408,"TDF2J1"),SUMIFS(Donnees!AS$4:AS$999408,Donnees!$G$4:$G$999408,"TDF2J1")-SUMIFS(Donnees!AP$4:AP$999408,Donnees!$G$4:$G$999408,"TDF2J1"),0)</f>
        <v>42744.859999999986</v>
      </c>
      <c r="G10" s="317">
        <f>IF(SUMIFS(Donnees!AP$4:AP$999408,Donnees!$G$4:$G$999408,"TDF2J1")&gt;SUMIFS(Donnees!AS$4:AS$999408,Donnees!$G$4:$G$999408,"TDF2J1"),SUMIFS(Donnees!AP$4:AP$999408,Donnees!$G$4:$G$999408,"TDF2J1")-SUMIFS(Donnees!AS$4:AS$999408,Donnees!$G$4:$G$999408,"TDF2J1"),0)</f>
        <v>0</v>
      </c>
      <c r="H10" s="301"/>
    </row>
    <row r="11" spans="2:8" x14ac:dyDescent="0.25">
      <c r="B11" s="308" t="s">
        <v>122</v>
      </c>
      <c r="C11" s="318">
        <f>IF(SUMIFS(Donnees!AP$4:AP$999408,Donnees!$AJ$4:$AJ$999408,"TDF2BV")&gt;SUMIFS(Donnees!AM$4:AM$999408,Donnees!$AJ$4:$AJ$999408,"TDF2BV"),SUMIFS(Donnees!AP$4:AP$999408,Donnees!$AJ$4:$AJ$999408,"TDF2BV")-SUMIFS(Donnees!AM$4:AM$999408,Donnees!$AJ$4:$AJ$999408,"TDF2BV"),0)</f>
        <v>0</v>
      </c>
      <c r="D11" s="318">
        <f>IF(SUMIFS(Donnees!AM$4:AM$999408,Donnees!$AJ$4:$AJ$999408,"TDF2BV")&gt;SUMIFS(Donnees!AP$4:AP$999408,Donnees!$AJ$4:$AJ$999408,"TDF2BV"),SUMIFS(Donnees!AM$4:AM$999408,Donnees!$AJ$4:$AJ$999408,"TDF2BV")-SUMIFS(Donnees!AP$4:AP$999408,Donnees!$AJ$4:$AJ$999408,"TDF2BV"),0)</f>
        <v>0</v>
      </c>
      <c r="E11" s="301"/>
      <c r="F11" s="318">
        <f>IF(SUMIFS(Donnees!AS$4:AS$999408,Donnees!$AJ$4:$AJ$999408,"TDF2BV")&gt;SUMIFS(Donnees!AP$4:AP$999408,Donnees!$AJ$4:$AJ$999408,"TDF2BV"),SUMIFS(Donnees!AS$4:AS$999408,Donnees!$AJ$4:$AJ$999408,"TDF2BV")-SUMIFS(Donnees!AP$4:AP$999408,Donnees!$AJ$4:$AJ$999408,"TDF2BV"),0)</f>
        <v>0</v>
      </c>
      <c r="G11" s="318">
        <f>IF(SUMIFS(Donnees!AP$4:AP$999408,Donnees!$AJ$4:$AJ$999408,"TDF2BV")&gt;SUMIFS(Donnees!AS$4:AS$999408,Donnees!$AJ$4:$AJ$999408,"TDF2BV"),SUMIFS(Donnees!AP$4:AP$999408,Donnees!$AJ$4:$AJ$999408,"TDF2BV")-SUMIFS(Donnees!AS$4:AS$999408,Donnees!$AJ$4:$AJ$999408,"TDF2BV"),0)</f>
        <v>0</v>
      </c>
      <c r="H11" s="301"/>
    </row>
    <row r="12" spans="2:8" x14ac:dyDescent="0.25">
      <c r="B12" s="307" t="s">
        <v>317</v>
      </c>
      <c r="C12" s="319">
        <f>IF(SUMIFS(Donnees!AP$4:AP$999408,Donnees!$G$4:$G$999408,"TDF2CJ2")&gt;SUMIFS(Donnees!AM$4:AM$999408,Donnees!$G$4:$G$999408,"TDF2CJ2"),SUMIFS(Donnees!AP$4:AP$999408,Donnees!$G$4:$G$999408,"TDF2CJ2")-SUMIFS(Donnees!AM$4:AM$999408,Donnees!$G$4:$G$999408,"TDF2CJ2"),0)</f>
        <v>0</v>
      </c>
      <c r="D12" s="319">
        <f>IF(SUMIFS(Donnees!AM$4:AM$999408,Donnees!$G$4:$G$999408,"TDF2CJ2")&gt;SUMIFS(Donnees!AP$4:AP$999408,Donnees!$G$4:$G$999408,"TDF2CJ2"),SUMIFS(Donnees!AM$4:AM$999408,Donnees!$G$4:$G$999408,"TDF2CJ2")-SUMIFS(Donnees!AP$4:AP$999408,Donnees!$G$4:$G$999408,"TDF2CJ2"),0)</f>
        <v>3204983.8699999996</v>
      </c>
      <c r="E12" s="301"/>
      <c r="F12" s="319">
        <f>IF(SUMIFS(Donnees!AS$4:AS$999408,Donnees!$G$4:$G$999408,"TDF2CJ2")&gt;SUMIFS(Donnees!AP$4:AP$999408,Donnees!$G$4:$G$999408,"TDF2CJ2"),SUMIFS(Donnees!AS$4:AS$999408,Donnees!$G$4:$G$999408,"TDF2CJ2")-SUMIFS(Donnees!AP$4:AP$999408,Donnees!$G$4:$G$999408,"TDF2CJ2"),0)</f>
        <v>0</v>
      </c>
      <c r="G12" s="319">
        <f>IF(SUMIFS(Donnees!AP$4:AP$999408,Donnees!$G$4:$G$999408,"TDF2CJ2")&gt;SUMIFS(Donnees!AS$4:AS$999408,Donnees!$G$4:$G$999408,"TDF2CJ2"),SUMIFS(Donnees!AP$4:AP$999408,Donnees!$G$4:$G$999408,"TDF2CJ2")-SUMIFS(Donnees!AS$4:AS$999408,Donnees!$G$4:$G$999408,"TDF2CJ2"),0)</f>
        <v>216036.60000000009</v>
      </c>
      <c r="H12" s="301"/>
    </row>
    <row r="13" spans="2:8" x14ac:dyDescent="0.25">
      <c r="B13" s="293" t="s">
        <v>318</v>
      </c>
      <c r="C13" s="320"/>
      <c r="D13" s="320"/>
      <c r="E13" s="301"/>
      <c r="F13" s="320"/>
      <c r="G13" s="320"/>
      <c r="H13" s="301"/>
    </row>
    <row r="14" spans="2:8" x14ac:dyDescent="0.25">
      <c r="B14" s="306" t="s">
        <v>140</v>
      </c>
      <c r="C14" s="317">
        <f>IF(SUMIFS(Donnees!AP$4:AP$999408,Donnees!$AJ$4:$AJ$999408,"TDF2DW")&gt;SUMIFS(Donnees!AM$4:AM$999408,Donnees!$AJ$4:$AJ$999408,"TDF2DW"),SUMIFS(Donnees!AP$4:AP$999408,Donnees!$AJ$4:$AJ$999408,"TDF2DW")-SUMIFS(Donnees!AM$4:AM$999408,Donnees!$AJ$4:$AJ$999408,"TDF2DW"),0)</f>
        <v>0</v>
      </c>
      <c r="D14" s="317">
        <f>IF(SUMIFS(Donnees!AM$4:AM$999408,Donnees!$AJ$4:$AJ$999408,"TDF2DW")&gt;SUMIFS(Donnees!AP$4:AP$999408,Donnees!$AJ$4:$AJ$999408,"TDF2DW"),SUMIFS(Donnees!AM$4:AM$999408,Donnees!$AJ$4:$AJ$999408,"TDF2DW")-SUMIFS(Donnees!AP$4:AP$999408,Donnees!$AJ$4:$AJ$999408,"TDF2DW"),0)</f>
        <v>0</v>
      </c>
      <c r="E14" s="301"/>
      <c r="F14" s="317">
        <f>IF(SUMIFS(Donnees!AS$4:AS$999408,Donnees!$AJ$4:$AJ$999408,"TDF2DW")&gt;SUMIFS(Donnees!AP$4:AP$999408,Donnees!$AJ$4:$AJ$999408,"TDF2DW"),SUMIFS(Donnees!AS$4:AS$999408,Donnees!$AJ$4:$AJ$999408,"TDF2DW")-SUMIFS(Donnees!AP$4:AP$999408,Donnees!$AJ$4:$AJ$999408,"TDF2DW"),0)</f>
        <v>0</v>
      </c>
      <c r="G14" s="317">
        <f>IF(SUMIFS(Donnees!AP$4:AP$999408,Donnees!$AJ$4:$AJ$999408,"TDF2DW")&gt;SUMIFS(Donnees!AS$4:AS$999408,Donnees!$AJ$4:$AJ$999408,"TDF2DW"),SUMIFS(Donnees!AP$4:AP$999408,Donnees!$AJ$4:$AJ$999408,"TDF2DW")-SUMIFS(Donnees!AS$4:AS$999408,Donnees!$AJ$4:$AJ$999408,"TDF2DW"),0)</f>
        <v>0</v>
      </c>
      <c r="H14" s="301"/>
    </row>
    <row r="15" spans="2:8" x14ac:dyDescent="0.25">
      <c r="B15" s="307" t="s">
        <v>319</v>
      </c>
      <c r="C15" s="319">
        <f>IF(SUMIFS(Donnees!AP$4:AP$999408,Donnees!$G$4:$G$999408,"TDF2DE")&gt;SUMIFS(Donnees!AM$4:AM$999408,Donnees!$G$4:$G$999408,"TDF2DE"),SUMIFS(Donnees!AP$4:AP$999408,Donnees!$G$4:$G$999408,"TDF2DE")-SUMIFS(Donnees!AM$4:AM$999408,Donnees!$G$4:$G$999408,"TDF2DE"),0)</f>
        <v>0</v>
      </c>
      <c r="D15" s="319">
        <f>IF(SUMIFS(Donnees!AM$4:AM$999408,Donnees!$G$4:$G$999408,"TDF2DE")&gt;SUMIFS(Donnees!AP$4:AP$999408,Donnees!$G$4:$G$999408,"TDF2DE"),SUMIFS(Donnees!AM$4:AM$999408,Donnees!$G$4:$G$999408,"TDF2DE")-SUMIFS(Donnees!AP$4:AP$999408,Donnees!$G$4:$G$999408,"TDF2DE"),0)</f>
        <v>4878423.3999999994</v>
      </c>
      <c r="E15" s="301"/>
      <c r="F15" s="319">
        <f>IF(SUMIFS(Donnees!AS$4:AS$999408,Donnees!$G$4:$G$999408,"TDF2DE")&gt;SUMIFS(Donnees!AP$4:AP$999408,Donnees!$G$4:$G$999408,"TDF2DE"),SUMIFS(Donnees!AS$4:AS$999408,Donnees!$G$4:$G$999408,"TDF2DE")-SUMIFS(Donnees!AP$4:AP$999408,Donnees!$G$4:$G$999408,"TDF2DE"),0)</f>
        <v>0</v>
      </c>
      <c r="G15" s="319">
        <f>IF(SUMIFS(Donnees!AP$4:AP$999408,Donnees!$G$4:$G$999408,"TDF2DE")&gt;SUMIFS(Donnees!AS$4:AS$999408,Donnees!$G$4:$G$999408,"TDF2DE"),SUMIFS(Donnees!AP$4:AP$999408,Donnees!$G$4:$G$999408,"TDF2DE")-SUMIFS(Donnees!AS$4:AS$999408,Donnees!$G$4:$G$999408,"TDF2DE"),0)</f>
        <v>678844.74999999953</v>
      </c>
      <c r="H15" s="301"/>
    </row>
    <row r="16" spans="2:8" x14ac:dyDescent="0.25">
      <c r="B16" s="288" t="s">
        <v>320</v>
      </c>
      <c r="C16" s="321">
        <f>SUM(C10:C15)</f>
        <v>0</v>
      </c>
      <c r="D16" s="321">
        <f>SUM(D10:D15)</f>
        <v>8120882.1999999993</v>
      </c>
      <c r="E16" s="291"/>
      <c r="F16" s="321">
        <f>SUM(F10:F15)</f>
        <v>42744.859999999986</v>
      </c>
      <c r="G16" s="321">
        <f>SUM(G10:G15)</f>
        <v>894881.34999999963</v>
      </c>
      <c r="H16" s="291"/>
    </row>
    <row r="17" spans="2:8" x14ac:dyDescent="0.25">
      <c r="B17" s="289" t="s">
        <v>324</v>
      </c>
      <c r="C17" s="287"/>
      <c r="D17" s="287"/>
      <c r="E17" s="321">
        <f>D16-C16</f>
        <v>8120882.1999999993</v>
      </c>
      <c r="F17" s="287"/>
      <c r="G17" s="287"/>
      <c r="H17" s="321">
        <f>G16-F16</f>
        <v>852136.48999999964</v>
      </c>
    </row>
    <row r="18" spans="2:8" x14ac:dyDescent="0.25">
      <c r="B18" s="286" t="s">
        <v>321</v>
      </c>
      <c r="C18" s="292"/>
      <c r="D18" s="292"/>
      <c r="E18" s="290"/>
      <c r="F18" s="292"/>
      <c r="G18" s="292"/>
      <c r="H18" s="290"/>
    </row>
    <row r="19" spans="2:8" x14ac:dyDescent="0.25">
      <c r="B19" s="293" t="s">
        <v>322</v>
      </c>
      <c r="C19" s="317">
        <f>IF(SUMIFS(Donnees!AP$4:AP$999408,Donnees!$G$4:$G$999408,"TDF2AD")&gt;SUMIFS(Donnees!AM$4:AM$999408,Donnees!$G$4:$G$999408,"TDF2AD"),SUMIFS(Donnees!AP$4:AP$999408,Donnees!$G$4:$G$999408,"TDF2AD")-SUMIFS(Donnees!AM$4:AM$999408,Donnees!$G$4:$G$999408,"TDF2AD"),0)</f>
        <v>0</v>
      </c>
      <c r="D19" s="317">
        <f>IF(SUMIFS(Donnees!AM$4:AM$999408,Donnees!$G$4:$G$999408,"TDF2AD")&gt;SUMIFS(Donnees!AP$4:AP$999408,Donnees!$G$4:$G$999408,"TDF2AD"),SUMIFS(Donnees!AM$4:AM$999408,Donnees!$G$4:$G$999408,"TDF2AD")-SUMIFS(Donnees!AP$4:AP$999408,Donnees!$G$4:$G$999408,"TDF2AD"),0)</f>
        <v>4035355.3199999994</v>
      </c>
      <c r="E19" s="301"/>
      <c r="F19" s="317">
        <f>IF(SUMIFS(Donnees!AS$4:AS$999408,Donnees!$G$4:$G$999408,"TDF2AD")&gt;SUMIFS(Donnees!AP$4:AP$999408,Donnees!$G$4:$G$999408,"TDF2AD"),SUMIFS(Donnees!AS$4:AS$999408,Donnees!$G$4:$G$999408,"TDF2AD")-SUMIFS(Donnees!AP$4:AP$999408,Donnees!$G$4:$G$999408,"TDF2AD"),0)</f>
        <v>0</v>
      </c>
      <c r="G19" s="317">
        <f>IF(SUMIFS(Donnees!AP$4:AP$999408,Donnees!$G$4:$G$999408,"TDF2AD")&gt;SUMIFS(Donnees!AS$4:AS$999408,Donnees!$G$4:$G$999408,"TDF2AD"),SUMIFS(Donnees!AP$4:AP$999408,Donnees!$G$4:$G$999408,"TDF2AD")-SUMIFS(Donnees!AS$4:AS$999408,Donnees!$G$4:$G$999408,"TDF2AD"),0)</f>
        <v>671108.00999999978</v>
      </c>
      <c r="H19" s="301"/>
    </row>
    <row r="20" spans="2:8" x14ac:dyDescent="0.25">
      <c r="B20" s="309" t="s">
        <v>323</v>
      </c>
      <c r="C20" s="319">
        <f>IF(SUMIFS(Donnees!AP$4:AP$999408,Donnees!$G$4:$G$999408,"TDF2AC")&gt;SUMIFS(Donnees!AM$4:AM$999408,Donnees!$G$4:$G$999408,"TDF2AC"),SUMIFS(Donnees!AP$4:AP$999408,Donnees!$G$4:$G$999408,"TDF2AC")-SUMIFS(Donnees!AM$4:AM$999408,Donnees!$G$4:$G$999408,"TDF2AC"),0)</f>
        <v>0</v>
      </c>
      <c r="D20" s="319">
        <f>IF(SUMIFS(Donnees!AM$4:AM$999408,Donnees!$G$4:$G$999408,"TDF2AC")&gt;SUMIFS(Donnees!AP$4:AP$999408,Donnees!$G$4:$G$999408,"TDF2AC"),SUMIFS(Donnees!AM$4:AM$999408,Donnees!$G$4:$G$999408,"TDF2AC")-SUMIFS(Donnees!AP$4:AP$999408,Donnees!$G$4:$G$999408,"TDF2AC"),0)</f>
        <v>91265.229999999981</v>
      </c>
      <c r="E20" s="301"/>
      <c r="F20" s="319">
        <f>IF(SUMIFS(Donnees!AS$4:AS$999408,Donnees!$G$4:$G$999408,"TDF2AC")&gt;SUMIFS(Donnees!AP$4:AP$999408,Donnees!$G$4:$G$999408,"TDF2AC"),SUMIFS(Donnees!AS$4:AS$999408,Donnees!$G$4:$G$999408,"TDF2AC")-SUMIFS(Donnees!AP$4:AP$999408,Donnees!$G$4:$G$999408,"TDF2AC"),0)</f>
        <v>0</v>
      </c>
      <c r="G20" s="319">
        <f>IF(SUMIFS(Donnees!AP$4:AP$999408,Donnees!$G$4:$G$999408,"TDF2AC")&gt;SUMIFS(Donnees!AS$4:AS$999408,Donnees!$G$4:$G$999408,"TDF2AC"),SUMIFS(Donnees!AP$4:AP$999408,Donnees!$G$4:$G$999408,"TDF2AC")-SUMIFS(Donnees!AS$4:AS$999408,Donnees!$G$4:$G$999408,"TDF2AC"),0)</f>
        <v>24290.660000000003</v>
      </c>
      <c r="H20" s="301"/>
    </row>
    <row r="21" spans="2:8" x14ac:dyDescent="0.25">
      <c r="B21" s="288" t="s">
        <v>320</v>
      </c>
      <c r="C21" s="321">
        <f>C19+C20</f>
        <v>0</v>
      </c>
      <c r="D21" s="321">
        <f>D19+D20</f>
        <v>4126620.5499999993</v>
      </c>
      <c r="E21" s="291"/>
      <c r="F21" s="321">
        <f>F19+F20</f>
        <v>0</v>
      </c>
      <c r="G21" s="321">
        <f>G19+G20</f>
        <v>695398.66999999981</v>
      </c>
      <c r="H21" s="291"/>
    </row>
    <row r="22" spans="2:8" x14ac:dyDescent="0.25">
      <c r="B22" s="289" t="s">
        <v>325</v>
      </c>
      <c r="C22" s="290"/>
      <c r="D22" s="290"/>
      <c r="E22" s="321">
        <f>D21-C21</f>
        <v>4126620.5499999993</v>
      </c>
      <c r="F22" s="290"/>
      <c r="G22" s="290"/>
      <c r="H22" s="321">
        <f>G21-F21</f>
        <v>695398.66999999981</v>
      </c>
    </row>
    <row r="23" spans="2:8" x14ac:dyDescent="0.25">
      <c r="B23" s="296" t="s">
        <v>326</v>
      </c>
      <c r="C23" s="301"/>
      <c r="D23" s="301"/>
      <c r="E23" s="292"/>
      <c r="F23" s="301"/>
      <c r="G23" s="301"/>
      <c r="H23" s="292"/>
    </row>
    <row r="24" spans="2:8" x14ac:dyDescent="0.25">
      <c r="B24" s="310" t="s">
        <v>327</v>
      </c>
      <c r="C24" s="301"/>
      <c r="D24" s="301"/>
      <c r="E24" s="324">
        <f>IF(E$17+E$22&lt;0,E$17+E$22,0)</f>
        <v>0</v>
      </c>
      <c r="F24" s="301"/>
      <c r="G24" s="301"/>
      <c r="H24" s="324">
        <f>IF(H$17+H$22&lt;0,H$17+H$22,0)</f>
        <v>0</v>
      </c>
    </row>
    <row r="25" spans="2:8" ht="30" x14ac:dyDescent="0.25">
      <c r="B25" s="311" t="s">
        <v>328</v>
      </c>
      <c r="C25" s="291"/>
      <c r="D25" s="291"/>
      <c r="E25" s="325">
        <f>IF(E$17+E$22&gt;0,E$17+E$22,0)</f>
        <v>12247502.749999998</v>
      </c>
      <c r="F25" s="291"/>
      <c r="G25" s="291"/>
      <c r="H25" s="325">
        <f>IF(H$17+H$22&gt;0,H$17+H$22,0)</f>
        <v>1547535.1599999995</v>
      </c>
    </row>
    <row r="26" spans="2:8" x14ac:dyDescent="0.25">
      <c r="B26" s="294" t="s">
        <v>329</v>
      </c>
      <c r="C26" s="292"/>
      <c r="D26" s="292"/>
      <c r="E26" s="290"/>
      <c r="F26" s="292"/>
      <c r="G26" s="292"/>
      <c r="H26" s="290"/>
    </row>
    <row r="27" spans="2:8" x14ac:dyDescent="0.25">
      <c r="B27" s="295" t="s">
        <v>330</v>
      </c>
      <c r="C27" s="317">
        <f>IF(SUMIFS(Donnees!AP$4:AP$999408,Donnees!$AJ$4:$AJ$999408,"TDF2VA")&gt;SUMIFS(Donnees!AM$4:AM$999408,Donnees!$AJ$4:$AJ$999408,"TDF2VA"),SUMIFS(Donnees!AP$4:AP$999408,Donnees!$AJ$4:$AJ$999408,"TDF2VA")-SUMIFS(Donnees!AM$4:AM$999408,Donnees!$AJ$4:$AJ$999408,"TDF2VA"),0)</f>
        <v>0</v>
      </c>
      <c r="D27" s="317">
        <f>IF(SUMIFS(Donnees!AM$4:AM$999408,Donnees!$AJ$4:$AJ$999408,"TDF2VA")&gt;SUMIFS(Donnees!AP$4:AP$999408,Donnees!$AJ$4:$AJ$999408,"TDF2VA"),SUMIFS(Donnees!AM$4:AM$999408,Donnees!$AJ$4:$AJ$999408,"TDF2VA")-SUMIFS(Donnees!AP$4:AP$999408,Donnees!$AJ$4:$AJ$999408,"TDF2VA"),0)</f>
        <v>2323031.02</v>
      </c>
      <c r="E27" s="301"/>
      <c r="F27" s="317">
        <f>IF(SUMIFS(Donnees!AS$4:AS$999408,Donnees!$AJ$4:$AJ$999408,"TDF2VA")&gt;SUMIFS(Donnees!AP$4:AP$999408,Donnees!$AJ$4:$AJ$999408,"TDF2VA"),SUMIFS(Donnees!AS$4:AS$999408,Donnees!$AJ$4:$AJ$999408,"TDF2VA")-SUMIFS(Donnees!AP$4:AP$999408,Donnees!$AJ$4:$AJ$999408,"TDF2VA"),0)</f>
        <v>128139.91000000009</v>
      </c>
      <c r="G27" s="317">
        <f>IF(SUMIFS(Donnees!AP$4:AP$999408,Donnees!$AJ$4:$AJ$999408,"TDF2VA")&gt;SUMIFS(Donnees!AS$4:AS$999408,Donnees!$AJ$4:$AJ$999408,"TDF2VA"),SUMIFS(Donnees!AP$4:AP$999408,Donnees!$AJ$4:$AJ$999408,"TDF2VA")-SUMIFS(Donnees!AS$4:AS$999408,Donnees!$AJ$4:$AJ$999408,"TDF2VA"),0)</f>
        <v>0</v>
      </c>
      <c r="H27" s="301"/>
    </row>
    <row r="28" spans="2:8" x14ac:dyDescent="0.25">
      <c r="B28" s="309" t="s">
        <v>331</v>
      </c>
      <c r="C28" s="319">
        <f>IF(SUMIFS(Donnees!AP$4:AP$999408,Donnees!$AJ$4:$AJ$999408,"TDF2VC")&gt;SUMIFS(Donnees!AM$4:AM$999408,Donnees!$AJ$4:$AJ$999408,"TDF2VC"),SUMIFS(Donnees!AP$4:AP$999408,Donnees!$AJ$4:$AJ$999408,"TDF2VC")-SUMIFS(Donnees!AM$4:AM$999408,Donnees!$AJ$4:$AJ$999408,"TDF2VC"),0)</f>
        <v>1928150.52</v>
      </c>
      <c r="D28" s="319">
        <f>IF(SUMIFS(Donnees!AM$4:AM$999408,Donnees!$AJ$4:$AJ$999408,"TDF2VC")&gt;SUMIFS(Donnees!AP$4:AP$999408,Donnees!$AJ$4:$AJ$999408,"TDF2VC"),SUMIFS(Donnees!AM$4:AM$999408,Donnees!$AJ$4:$AJ$999408,"TDF2VC")-SUMIFS(Donnees!AP$4:AP$999408,Donnees!$AJ$4:$AJ$999408,"TDF2VC"),0)</f>
        <v>0</v>
      </c>
      <c r="E28" s="301"/>
      <c r="F28" s="319">
        <f>IF(SUMIFS(Donnees!AS$4:AS$999408,Donnees!$AJ$4:$AJ$999408,"TDF2VC")&gt;SUMIFS(Donnees!AP$4:AP$999408,Donnees!$AJ$4:$AJ$999408,"TDF2VC"),SUMIFS(Donnees!AS$4:AS$999408,Donnees!$AJ$4:$AJ$999408,"TDF2VC")-SUMIFS(Donnees!AP$4:AP$999408,Donnees!$AJ$4:$AJ$999408,"TDF2VC"),0)</f>
        <v>0</v>
      </c>
      <c r="G28" s="319">
        <f>IF(SUMIFS(Donnees!AP$4:AP$999408,Donnees!$AJ$4:$AJ$999408,"TDF2VC")&gt;SUMIFS(Donnees!AS$4:AS$999408,Donnees!$AJ$4:$AJ$999408,"TDF2VC"),SUMIFS(Donnees!AP$4:AP$999408,Donnees!$AJ$4:$AJ$999408,"TDF2VC")-SUMIFS(Donnees!AS$4:AS$999408,Donnees!$AJ$4:$AJ$999408,"TDF2VC"),0)</f>
        <v>128149.40000000002</v>
      </c>
      <c r="H28" s="301"/>
    </row>
    <row r="29" spans="2:8" x14ac:dyDescent="0.25">
      <c r="B29" s="288" t="s">
        <v>320</v>
      </c>
      <c r="C29" s="321">
        <f>C27+C28</f>
        <v>1928150.52</v>
      </c>
      <c r="D29" s="321">
        <f>D27+D28</f>
        <v>2323031.02</v>
      </c>
      <c r="E29" s="291"/>
      <c r="F29" s="321">
        <f>F27+F28</f>
        <v>128139.91000000009</v>
      </c>
      <c r="G29" s="321">
        <f>G27+G28</f>
        <v>128149.40000000002</v>
      </c>
      <c r="H29" s="291"/>
    </row>
    <row r="30" spans="2:8" x14ac:dyDescent="0.25">
      <c r="B30" s="289" t="s">
        <v>332</v>
      </c>
      <c r="C30" s="287"/>
      <c r="D30" s="287"/>
      <c r="E30" s="321">
        <f>D29-C29</f>
        <v>394880.5</v>
      </c>
      <c r="F30" s="287"/>
      <c r="G30" s="287"/>
      <c r="H30" s="321">
        <f>G29-F29</f>
        <v>9.4899999999324791</v>
      </c>
    </row>
    <row r="31" spans="2:8" ht="30" x14ac:dyDescent="0.25">
      <c r="B31" s="297" t="s">
        <v>333</v>
      </c>
      <c r="C31" s="299"/>
      <c r="D31" s="298"/>
      <c r="E31" s="292"/>
      <c r="F31" s="299"/>
      <c r="G31" s="298"/>
      <c r="H31" s="292"/>
    </row>
    <row r="32" spans="2:8" x14ac:dyDescent="0.25">
      <c r="B32" s="313" t="s">
        <v>334</v>
      </c>
      <c r="C32" s="315"/>
      <c r="D32" s="312"/>
      <c r="E32" s="324">
        <f>IF(E$17+E$22+E$30&lt;0,E$17+E$22+E$30,0)</f>
        <v>0</v>
      </c>
      <c r="F32" s="324"/>
      <c r="G32" s="324"/>
      <c r="H32" s="324">
        <f>IF(H$17+H$22+H$30&lt;0,H$17+H$22+H$30,0)</f>
        <v>0</v>
      </c>
    </row>
    <row r="33" spans="2:8" ht="30" x14ac:dyDescent="0.25">
      <c r="B33" s="314" t="s">
        <v>335</v>
      </c>
      <c r="C33" s="300"/>
      <c r="D33" s="265"/>
      <c r="E33" s="325">
        <f>IF(E$17+E$22+E$30&gt;0,E$17+E$22+E$30,0)</f>
        <v>12642383.249999998</v>
      </c>
      <c r="F33" s="325"/>
      <c r="G33" s="325"/>
      <c r="H33" s="325">
        <f>IF(H$17+H$22+H$30&gt;0,H$17+H$22+H$30,0)</f>
        <v>1547544.6499999994</v>
      </c>
    </row>
    <row r="34" spans="2:8" x14ac:dyDescent="0.25">
      <c r="E34" s="299"/>
      <c r="H34" s="299"/>
    </row>
    <row r="35" spans="2:8" x14ac:dyDescent="0.25">
      <c r="B35" s="281" t="s">
        <v>338</v>
      </c>
      <c r="C35" s="281"/>
      <c r="D35" s="281"/>
      <c r="E35" s="281"/>
    </row>
    <row r="36" spans="2:8" x14ac:dyDescent="0.25">
      <c r="B36" s="281" t="s">
        <v>339</v>
      </c>
      <c r="C36" s="281"/>
      <c r="D36" s="281"/>
      <c r="E36" s="281"/>
    </row>
    <row r="37" spans="2:8" x14ac:dyDescent="0.25">
      <c r="B37" s="281" t="s">
        <v>340</v>
      </c>
      <c r="C37" s="281"/>
      <c r="D37" s="281"/>
      <c r="E37" s="281"/>
    </row>
    <row r="38" spans="2:8" x14ac:dyDescent="0.25">
      <c r="B38" s="281" t="s">
        <v>341</v>
      </c>
      <c r="C38" s="281"/>
      <c r="D38" s="281"/>
      <c r="E38" s="281"/>
    </row>
    <row r="39" spans="2:8" x14ac:dyDescent="0.25">
      <c r="B39" s="281"/>
      <c r="C39" s="281"/>
      <c r="D39" s="281"/>
      <c r="E39" s="281"/>
    </row>
    <row r="40" spans="2:8" x14ac:dyDescent="0.25">
      <c r="B40" s="282" t="s">
        <v>336</v>
      </c>
      <c r="D40" s="283"/>
      <c r="E40" s="283"/>
    </row>
    <row r="41" spans="2:8" x14ac:dyDescent="0.25">
      <c r="B41" s="284" t="s">
        <v>337</v>
      </c>
      <c r="D41" s="285"/>
      <c r="E41" s="285"/>
    </row>
  </sheetData>
  <mergeCells count="4">
    <mergeCell ref="B3:G3"/>
    <mergeCell ref="C5:E5"/>
    <mergeCell ref="B5:B7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BILAN ACTIF</vt:lpstr>
      <vt:lpstr>BILAN PASSIF</vt:lpstr>
      <vt:lpstr>RESULTAT</vt:lpstr>
      <vt:lpstr>SIG</vt:lpstr>
      <vt:lpstr>BFR</vt:lpstr>
      <vt:lpstr>TFT</vt:lpstr>
      <vt:lpstr>CAF</vt:lpstr>
      <vt:lpstr>I. Tableau des E et R</vt:lpstr>
      <vt:lpstr>II. Tableau des E et R</vt:lpstr>
      <vt:lpstr>Donnees</vt:lpstr>
      <vt:lpstr>'BILAN ACTIF'!Zone_d_impression</vt:lpstr>
      <vt:lpstr>'BILAN PASSIF'!Zone_d_impression</vt:lpstr>
      <vt:lpstr>CAF!Zone_d_impression</vt:lpstr>
      <vt:lpstr>RESULTAT!Zone_d_impression</vt:lpstr>
      <vt:lpstr>SIG!Zone_d_impression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2014-03-26T10:27:25Z</cp:lastPrinted>
  <dcterms:created xsi:type="dcterms:W3CDTF">2014-02-27T13:21:55Z</dcterms:created>
  <dcterms:modified xsi:type="dcterms:W3CDTF">2023-11-09T14:54:53Z</dcterms:modified>
</cp:coreProperties>
</file>